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65416" windowWidth="19440" windowHeight="15600" tabRatio="797" firstSheet="1" activeTab="1"/>
  </bookViews>
  <sheets>
    <sheet name="Inscr. Jeune isolé | 16-25 ans" sheetId="1" state="hidden" r:id="rId1"/>
    <sheet name="Inscription Famille" sheetId="2" r:id="rId2"/>
    <sheet name="FICHE A ENVOYER" sheetId="3" state="hidden" r:id="rId3"/>
    <sheet name="Tarifs" sheetId="4" r:id="rId4"/>
    <sheet name="Période" sheetId="5" state="hidden" r:id="rId5"/>
    <sheet name="$Paramètres" sheetId="6" state="hidden" r:id="rId6"/>
  </sheets>
  <definedNames>
    <definedName name="_xlnm.Print_Area" localSheetId="1">'Inscription Famille'!$A$14:$F$55</definedName>
  </definedNames>
  <calcPr fullCalcOnLoad="1"/>
</workbook>
</file>

<file path=xl/sharedStrings.xml><?xml version="1.0" encoding="utf-8"?>
<sst xmlns="http://schemas.openxmlformats.org/spreadsheetml/2006/main" count="167" uniqueCount="108">
  <si>
    <t>SEJOUR FAMILLE : Fiche d’inscription à renvoyer</t>
  </si>
  <si>
    <t>Veuillez svp renseigner vos noms et prénoms et vos dates de séjour</t>
  </si>
  <si>
    <t>Nom</t>
  </si>
  <si>
    <t>Prénom</t>
  </si>
  <si>
    <t>Tarif
unitaire</t>
  </si>
  <si>
    <t>Date
Arrivée</t>
  </si>
  <si>
    <t>Date
Départ</t>
  </si>
  <si>
    <t>Nb nuits</t>
  </si>
  <si>
    <t>Taxe
séjour</t>
  </si>
  <si>
    <t>Montant</t>
  </si>
  <si>
    <t>Imprimer cette fiche et l'envoyer à l'adresse ci-dessous avec les 2 chèques suivants</t>
  </si>
  <si>
    <t>1 chèque d'arrhes d'un montant de</t>
  </si>
  <si>
    <t>Arrhes (20 %)</t>
  </si>
  <si>
    <t>1 chèque d'adhésion de d'un montant de</t>
  </si>
  <si>
    <t>Adhésion</t>
  </si>
  <si>
    <t>Adresse de destination :</t>
  </si>
  <si>
    <t>Solde</t>
  </si>
  <si>
    <t>Vous recevrez un courriel de confirmation dès réception de votre courrier</t>
  </si>
  <si>
    <t>N’hésitez pas à nous contacter en Juin si vous n’avez pas reçu de confirmation de votre inscription</t>
  </si>
  <si>
    <t>Adulte (+18 ans)</t>
  </si>
  <si>
    <t>A partir de cette année une taxe de séjour de 0,75 € par adulte et par nuit est exigible par la mairie de Monetier</t>
  </si>
  <si>
    <t>Nb personnes dans la famille</t>
  </si>
  <si>
    <t>Email</t>
  </si>
  <si>
    <t>Téléphone</t>
  </si>
  <si>
    <t>Les familles souhaitant s’inscrire durant 15 jours ou plus doivent si possible</t>
  </si>
  <si>
    <t>privilégier les dates de début et fin de séjour afin de faciliter l’attribution des chambres.</t>
  </si>
  <si>
    <r>
      <t xml:space="preserve">3 - Choisissez une autre semaine ou cliquez sur l'onglet </t>
    </r>
    <r>
      <rPr>
        <u val="single"/>
        <sz val="16"/>
        <color indexed="10"/>
        <rFont val="Segoe Script"/>
        <family val="2"/>
      </rPr>
      <t>FICHE A ENVOYER</t>
    </r>
  </si>
  <si>
    <t>Adresse</t>
  </si>
  <si>
    <t>Semaine 1</t>
  </si>
  <si>
    <t>Semaine 2</t>
  </si>
  <si>
    <t>Semaine 3</t>
  </si>
  <si>
    <t>Taxe
séjour
0,75 €
par adulte
par nuit</t>
  </si>
  <si>
    <t>Imprimer cette fiche et l'envoyer à l'adresse ci-dessous avec les 2 chèques suivants :</t>
  </si>
  <si>
    <t>à l'ordre de l'ADAL</t>
  </si>
  <si>
    <t>à régler durant le séjour</t>
  </si>
  <si>
    <t>Année</t>
  </si>
  <si>
    <t>Semaines</t>
  </si>
  <si>
    <t>Vos tarifs et votre tranche calculés en fonction de vos revenus</t>
  </si>
  <si>
    <t>Revenus</t>
  </si>
  <si>
    <t>nb personne</t>
  </si>
  <si>
    <t>QF</t>
  </si>
  <si>
    <t>Tranche</t>
  </si>
  <si>
    <t>Adultes</t>
  </si>
  <si>
    <t>Célibataire</t>
  </si>
  <si>
    <t>Grille ADAL : repérage de votre tranche en fonction de vos revenus</t>
  </si>
  <si>
    <t>QF &lt; à ou &gt; à</t>
  </si>
  <si>
    <t>gratuit</t>
  </si>
  <si>
    <t>Autres coûts</t>
  </si>
  <si>
    <t>Taxe séjour</t>
  </si>
  <si>
    <t>Adhésion familiale</t>
  </si>
  <si>
    <t>Adhésion individuelle</t>
  </si>
  <si>
    <t>Jeune isolé</t>
  </si>
  <si>
    <t>Organisateur</t>
  </si>
  <si>
    <t>tarifs Barotte</t>
  </si>
  <si>
    <t>prix</t>
  </si>
  <si>
    <t>unitaire</t>
  </si>
  <si>
    <t>nuit &gt; 20 personnes</t>
  </si>
  <si>
    <t>nuit &gt; 10 personnes</t>
  </si>
  <si>
    <t>nuit &lt; 10 personnes</t>
  </si>
  <si>
    <t>EDF nuit</t>
  </si>
  <si>
    <t>EDF jour</t>
  </si>
  <si>
    <t>Gaz</t>
  </si>
  <si>
    <t>réductions enfants</t>
  </si>
  <si>
    <t>nuits</t>
  </si>
  <si>
    <t>Enfants -18 ans</t>
  </si>
  <si>
    <t>Enfants -10 ans</t>
  </si>
  <si>
    <t>1 chèque d'adhésion d'un montant de</t>
  </si>
  <si>
    <t>Âge
enfants</t>
  </si>
  <si>
    <t>Enfant (4 à 11 ans)</t>
  </si>
  <si>
    <t>Ado (12 à 18ans)</t>
  </si>
  <si>
    <t>Bébé (- 4ans)</t>
  </si>
  <si>
    <t>Ados de 12 à 18 ans</t>
  </si>
  <si>
    <t>Enfants de 4 à 11 ans</t>
  </si>
  <si>
    <t>Enfants de moins de 4 ans</t>
  </si>
  <si>
    <r>
      <t xml:space="preserve">2 - Inscrivez les dates </t>
    </r>
    <r>
      <rPr>
        <u val="single"/>
        <sz val="16"/>
        <color indexed="10"/>
        <rFont val="Segoe Script"/>
        <family val="2"/>
      </rPr>
      <t>d'ARRIVEE</t>
    </r>
    <r>
      <rPr>
        <sz val="16"/>
        <color indexed="10"/>
        <rFont val="Segoe Script"/>
        <family val="2"/>
      </rPr>
      <t xml:space="preserve"> et de </t>
    </r>
    <r>
      <rPr>
        <u val="single"/>
        <sz val="16"/>
        <color indexed="10"/>
        <rFont val="Segoe Script"/>
        <family val="2"/>
      </rPr>
      <t>DEPART</t>
    </r>
    <r>
      <rPr>
        <sz val="16"/>
        <color indexed="10"/>
        <rFont val="Segoe Script"/>
        <family val="2"/>
      </rPr>
      <t xml:space="preserve"> de chacun</t>
    </r>
  </si>
  <si>
    <t>Adresse postale</t>
  </si>
  <si>
    <t>(cette information n'est pas communiquée et restera confidentielle</t>
  </si>
  <si>
    <t>elle sert uniquement à calculer le QF, quotient familial ADAL (voir onglet TARIFS))</t>
  </si>
  <si>
    <t>Zoé de Chanlaire et Thibault Di Tucci</t>
  </si>
  <si>
    <t>nb parts</t>
  </si>
  <si>
    <t>Âge</t>
  </si>
  <si>
    <t>Revenus du foyer</t>
  </si>
  <si>
    <t>ADHESION</t>
  </si>
  <si>
    <t>COUT DU SEJOUR</t>
  </si>
  <si>
    <t>&lt;</t>
  </si>
  <si>
    <t xml:space="preserve">CHEQUE n°2 &gt; </t>
  </si>
  <si>
    <t xml:space="preserve">CHEQUE n°1 &gt; </t>
  </si>
  <si>
    <r>
      <rPr>
        <b/>
        <u val="single"/>
        <sz val="12"/>
        <color indexed="10"/>
        <rFont val="Arial"/>
        <family val="2"/>
      </rPr>
      <t>Imprimer cette fiche</t>
    </r>
    <r>
      <rPr>
        <b/>
        <sz val="12"/>
        <color indexed="10"/>
        <rFont val="Arial"/>
        <family val="2"/>
      </rPr>
      <t xml:space="preserve"> et l'envoyer à l'adresse ci-dessous</t>
    </r>
  </si>
  <si>
    <t>* N’hésitez pas à nous contacter en Juin si vous n’avez pas reçu de confirmation de votre inscription</t>
  </si>
  <si>
    <t>* Vous recevrez un courriel de confirmation dès réception de votre courrier</t>
  </si>
  <si>
    <t>* Consultez l'onglet TARIFS pour plus d'informations sur le calcul des frais</t>
  </si>
  <si>
    <t>* Une taxe de séjour de 0,75 € par adulte et par nuit est exigible par la mairie de Monetier</t>
  </si>
  <si>
    <t>merci de signaler tout difficulté d'utilisation en écrivant à contact@labarotte.com</t>
  </si>
  <si>
    <t>Commune</t>
  </si>
  <si>
    <t>Code postal</t>
  </si>
  <si>
    <r>
      <t xml:space="preserve">/!\ Pour imprimer, appuyer en même temps sur les touches </t>
    </r>
    <r>
      <rPr>
        <b/>
        <i/>
        <u val="single"/>
        <sz val="14"/>
        <rFont val="Arial"/>
        <family val="2"/>
      </rPr>
      <t>CTRL</t>
    </r>
    <r>
      <rPr>
        <b/>
        <i/>
        <u val="single"/>
        <sz val="14"/>
        <color indexed="10"/>
        <rFont val="Arial"/>
        <family val="2"/>
      </rPr>
      <t xml:space="preserve"> et </t>
    </r>
    <r>
      <rPr>
        <b/>
        <i/>
        <u val="single"/>
        <sz val="14"/>
        <rFont val="Arial"/>
        <family val="2"/>
      </rPr>
      <t>P</t>
    </r>
  </si>
  <si>
    <t>avec les 2 chèques n°1 et n°2 à l'ordre de l'ADAL :</t>
  </si>
  <si>
    <r>
      <t xml:space="preserve">revenu mensuel du foyer : salaires + allocations + autres </t>
    </r>
    <r>
      <rPr>
        <b/>
        <sz val="16"/>
        <color indexed="10"/>
        <rFont val="Calibri"/>
        <family val="2"/>
      </rPr>
      <t>↑</t>
    </r>
  </si>
  <si>
    <t>Tarif</t>
  </si>
  <si>
    <r>
      <t xml:space="preserve">Inscription famille </t>
    </r>
    <r>
      <rPr>
        <sz val="16"/>
        <rFont val="Arial"/>
        <family val="2"/>
      </rPr>
      <t>(noms et prénoms indispensables)</t>
    </r>
  </si>
  <si>
    <r>
      <t xml:space="preserve">Inscription "jeune isolé" </t>
    </r>
    <r>
      <rPr>
        <sz val="16"/>
        <rFont val="Arial"/>
        <family val="2"/>
      </rPr>
      <t>(réservé uniquement pour les 16-25 ans)</t>
    </r>
  </si>
  <si>
    <t>Vos dates d'arrivée et de départ</t>
  </si>
  <si>
    <t>doivent être comprises entre</t>
  </si>
  <si>
    <t>Veuillez uniquement svp renseigner les zones en vert</t>
  </si>
  <si>
    <t>38000 Grenoble</t>
  </si>
  <si>
    <t>38000 - Grenoble</t>
  </si>
  <si>
    <t>53 rue Marx Dormoy</t>
  </si>
  <si>
    <t>le 23 Juillet et 13 Août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</si>
</sst>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* #,##0.00\ [$€-1]\ ;\-* #,##0.00\ [$€-1]\ ;\ * \-#\ [$€-1]\ "/>
    <numFmt numFmtId="165" formatCode="#,##0.00&quot; €&quot;"/>
    <numFmt numFmtId="166" formatCode="#,##0\ [$€-1];\-#,##0\ [$€-1]"/>
    <numFmt numFmtId="167" formatCode="#,##0\ ;\-#,##0\ "/>
    <numFmt numFmtId="168" formatCode="dd/mm/yy"/>
    <numFmt numFmtId="169" formatCode="\ * #,##0\ [$€-1]\ ;\-* #,##0\ [$€-1]\ ;\ * \-#\ [$€-1]\ "/>
    <numFmt numFmtId="170" formatCode="#,##0&quot; €&quot;;[Red]\-#,##0&quot; €&quot;"/>
    <numFmt numFmtId="171" formatCode="#,##0.00&quot; €&quot;;[Red]\-#,##0.00&quot; €&quot;"/>
    <numFmt numFmtId="172" formatCode="0.0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Segoe Script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1"/>
      <color indexed="12"/>
      <name val="Arial"/>
      <family val="2"/>
    </font>
    <font>
      <sz val="16"/>
      <color indexed="10"/>
      <name val="Segoe Script"/>
      <family val="2"/>
    </font>
    <font>
      <u val="single"/>
      <sz val="16"/>
      <color indexed="10"/>
      <name val="Segoe Script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color indexed="10"/>
      <name val="Segoe Script"/>
      <family val="2"/>
    </font>
    <font>
      <b/>
      <sz val="9"/>
      <color indexed="10"/>
      <name val="Segoe Script"/>
      <family val="2"/>
    </font>
    <font>
      <sz val="16"/>
      <name val="Arial"/>
      <family val="2"/>
    </font>
    <font>
      <b/>
      <u val="single"/>
      <sz val="12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u val="single"/>
      <sz val="14"/>
      <name val="Arial"/>
      <family val="2"/>
    </font>
    <font>
      <b/>
      <sz val="16"/>
      <color indexed="10"/>
      <name val="Calibri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10"/>
      <name val="Segoe Script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1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2"/>
      <color rgb="FFFF0000"/>
      <name val="Arial"/>
      <family val="2"/>
    </font>
    <font>
      <i/>
      <sz val="11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14" fontId="0" fillId="0" borderId="4" applyProtection="0">
      <alignment horizontal="center" vertical="center"/>
    </xf>
    <xf numFmtId="0" fontId="2" fillId="29" borderId="0" applyNumberFormat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26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6" borderId="10" applyNumberFormat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37" borderId="11" xfId="0" applyFont="1" applyFill="1" applyBorder="1" applyAlignment="1">
      <alignment horizontal="left" vertical="center"/>
    </xf>
    <xf numFmtId="0" fontId="4" fillId="37" borderId="12" xfId="0" applyFont="1" applyFill="1" applyBorder="1" applyAlignment="1">
      <alignment vertical="center" wrapText="1"/>
    </xf>
    <xf numFmtId="0" fontId="0" fillId="37" borderId="12" xfId="0" applyFill="1" applyBorder="1" applyAlignment="1">
      <alignment/>
    </xf>
    <xf numFmtId="164" fontId="0" fillId="37" borderId="12" xfId="0" applyNumberFormat="1" applyFill="1" applyBorder="1" applyAlignment="1">
      <alignment/>
    </xf>
    <xf numFmtId="0" fontId="0" fillId="37" borderId="13" xfId="0" applyFill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right" vertical="center" wrapText="1"/>
    </xf>
    <xf numFmtId="164" fontId="0" fillId="0" borderId="14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11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4" xfId="0" applyBorder="1" applyAlignment="1">
      <alignment horizontal="center" vertical="center" textRotation="90"/>
    </xf>
    <xf numFmtId="0" fontId="13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9" xfId="0" applyBorder="1" applyAlignment="1">
      <alignment/>
    </xf>
    <xf numFmtId="0" fontId="9" fillId="0" borderId="11" xfId="0" applyFont="1" applyBorder="1" applyAlignment="1">
      <alignment horizontal="center" vertical="center" textRotation="90"/>
    </xf>
    <xf numFmtId="0" fontId="9" fillId="37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4" fontId="0" fillId="0" borderId="4" xfId="44">
      <alignment horizontal="center" vertical="center"/>
    </xf>
    <xf numFmtId="1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/>
    </xf>
    <xf numFmtId="167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4" fontId="9" fillId="0" borderId="14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12" fillId="0" borderId="14" xfId="0" applyFont="1" applyBorder="1" applyAlignment="1">
      <alignment horizontal="left" vertical="center"/>
    </xf>
    <xf numFmtId="164" fontId="9" fillId="0" borderId="11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164" fontId="11" fillId="0" borderId="0" xfId="0" applyNumberFormat="1" applyFont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" fontId="0" fillId="0" borderId="0" xfId="0" applyNumberFormat="1" applyAlignment="1">
      <alignment/>
    </xf>
    <xf numFmtId="0" fontId="19" fillId="37" borderId="11" xfId="0" applyFont="1" applyFill="1" applyBorder="1" applyAlignment="1">
      <alignment/>
    </xf>
    <xf numFmtId="1" fontId="19" fillId="37" borderId="12" xfId="0" applyNumberFormat="1" applyFont="1" applyFill="1" applyBorder="1" applyAlignment="1">
      <alignment/>
    </xf>
    <xf numFmtId="0" fontId="19" fillId="38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37" borderId="13" xfId="0" applyFont="1" applyFill="1" applyBorder="1" applyAlignment="1">
      <alignment/>
    </xf>
    <xf numFmtId="0" fontId="12" fillId="38" borderId="22" xfId="0" applyFont="1" applyFill="1" applyBorder="1" applyAlignment="1">
      <alignment vertical="center"/>
    </xf>
    <xf numFmtId="1" fontId="19" fillId="38" borderId="23" xfId="0" applyNumberFormat="1" applyFont="1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8" fontId="0" fillId="38" borderId="14" xfId="0" applyNumberFormat="1" applyFill="1" applyBorder="1" applyAlignment="1">
      <alignment/>
    </xf>
    <xf numFmtId="0" fontId="12" fillId="38" borderId="17" xfId="0" applyFont="1" applyFill="1" applyBorder="1" applyAlignment="1">
      <alignment vertical="center"/>
    </xf>
    <xf numFmtId="1" fontId="19" fillId="38" borderId="0" xfId="0" applyNumberFormat="1" applyFont="1" applyFill="1" applyAlignment="1">
      <alignment/>
    </xf>
    <xf numFmtId="0" fontId="4" fillId="0" borderId="18" xfId="0" applyFont="1" applyBorder="1" applyAlignment="1">
      <alignment/>
    </xf>
    <xf numFmtId="168" fontId="0" fillId="0" borderId="20" xfId="0" applyNumberFormat="1" applyBorder="1" applyAlignment="1">
      <alignment/>
    </xf>
    <xf numFmtId="0" fontId="12" fillId="38" borderId="15" xfId="0" applyFont="1" applyFill="1" applyBorder="1" applyAlignment="1">
      <alignment vertical="center"/>
    </xf>
    <xf numFmtId="1" fontId="19" fillId="38" borderId="16" xfId="0" applyNumberFormat="1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168" fontId="0" fillId="0" borderId="21" xfId="0" applyNumberFormat="1" applyBorder="1" applyAlignment="1">
      <alignment/>
    </xf>
    <xf numFmtId="0" fontId="19" fillId="37" borderId="12" xfId="0" applyFont="1" applyFill="1" applyBorder="1" applyAlignment="1">
      <alignment/>
    </xf>
    <xf numFmtId="0" fontId="19" fillId="37" borderId="12" xfId="0" applyFont="1" applyFill="1" applyBorder="1" applyAlignment="1">
      <alignment horizontal="center"/>
    </xf>
    <xf numFmtId="0" fontId="4" fillId="37" borderId="12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0" fillId="0" borderId="4" xfId="0" applyBorder="1" applyAlignment="1">
      <alignment horizontal="center" textRotation="90"/>
    </xf>
    <xf numFmtId="1" fontId="0" fillId="0" borderId="4" xfId="0" applyNumberFormat="1" applyBorder="1" applyAlignment="1">
      <alignment horizontal="center" textRotation="90"/>
    </xf>
    <xf numFmtId="0" fontId="0" fillId="0" borderId="14" xfId="0" applyBorder="1" applyAlignment="1">
      <alignment horizontal="center" textRotation="90" wrapText="1"/>
    </xf>
    <xf numFmtId="166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 vertical="center"/>
    </xf>
    <xf numFmtId="0" fontId="3" fillId="34" borderId="4" xfId="0" applyFont="1" applyFill="1" applyBorder="1" applyAlignment="1">
      <alignment horizontal="center"/>
    </xf>
    <xf numFmtId="165" fontId="3" fillId="34" borderId="4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9" fontId="0" fillId="0" borderId="0" xfId="0" applyNumberFormat="1" applyAlignment="1">
      <alignment/>
    </xf>
    <xf numFmtId="1" fontId="0" fillId="37" borderId="12" xfId="0" applyNumberFormat="1" applyFill="1" applyBorder="1" applyAlignment="1">
      <alignment/>
    </xf>
    <xf numFmtId="0" fontId="0" fillId="0" borderId="14" xfId="0" applyBorder="1" applyAlignment="1">
      <alignment horizontal="center" wrapText="1"/>
    </xf>
    <xf numFmtId="170" fontId="0" fillId="0" borderId="11" xfId="0" applyNumberForma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0" fillId="0" borderId="11" xfId="0" applyNumberFormat="1" applyBorder="1" applyAlignment="1">
      <alignment horizontal="center" wrapText="1"/>
    </xf>
    <xf numFmtId="1" fontId="0" fillId="0" borderId="0" xfId="0" applyNumberFormat="1" applyAlignment="1">
      <alignment horizontal="right"/>
    </xf>
    <xf numFmtId="170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vertical="center" textRotation="90" wrapText="1"/>
    </xf>
    <xf numFmtId="17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1" fontId="0" fillId="38" borderId="4" xfId="0" applyNumberFormat="1" applyFill="1" applyBorder="1" applyAlignment="1">
      <alignment horizontal="center" wrapText="1"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/>
    </xf>
    <xf numFmtId="0" fontId="6" fillId="38" borderId="22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" xfId="0" applyBorder="1" applyAlignment="1">
      <alignment/>
    </xf>
    <xf numFmtId="2" fontId="3" fillId="37" borderId="4" xfId="0" applyNumberFormat="1" applyFont="1" applyFill="1" applyBorder="1" applyAlignment="1">
      <alignment horizontal="center"/>
    </xf>
    <xf numFmtId="1" fontId="3" fillId="37" borderId="21" xfId="0" applyNumberFormat="1" applyFont="1" applyFill="1" applyBorder="1" applyAlignment="1">
      <alignment horizontal="center"/>
    </xf>
    <xf numFmtId="1" fontId="3" fillId="37" borderId="4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14" fontId="0" fillId="39" borderId="4" xfId="0" applyNumberFormat="1" applyFill="1" applyBorder="1" applyAlignment="1" applyProtection="1">
      <alignment horizontal="center" vertical="center"/>
      <protection locked="0"/>
    </xf>
    <xf numFmtId="14" fontId="0" fillId="39" borderId="4" xfId="0" applyNumberFormat="1" applyFont="1" applyFill="1" applyBorder="1" applyAlignment="1" applyProtection="1">
      <alignment horizontal="center" vertical="center"/>
      <protection locked="0"/>
    </xf>
    <xf numFmtId="0" fontId="4" fillId="39" borderId="11" xfId="0" applyFont="1" applyFill="1" applyBorder="1" applyAlignment="1" applyProtection="1">
      <alignment vertical="center"/>
      <protection locked="0"/>
    </xf>
    <xf numFmtId="168" fontId="0" fillId="0" borderId="14" xfId="0" applyNumberFormat="1" applyBorder="1" applyAlignment="1">
      <alignment/>
    </xf>
    <xf numFmtId="0" fontId="4" fillId="37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6" fillId="40" borderId="11" xfId="0" applyFont="1" applyFill="1" applyBorder="1" applyAlignment="1">
      <alignment vertical="center"/>
    </xf>
    <xf numFmtId="14" fontId="6" fillId="40" borderId="11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6" fillId="41" borderId="4" xfId="0" applyFont="1" applyFill="1" applyBorder="1" applyAlignment="1" applyProtection="1">
      <alignment horizontal="center" vertical="center"/>
      <protection locked="0"/>
    </xf>
    <xf numFmtId="14" fontId="0" fillId="41" borderId="4" xfId="0" applyNumberFormat="1" applyFont="1" applyFill="1" applyBorder="1" applyAlignment="1" applyProtection="1">
      <alignment horizontal="center" vertical="center"/>
      <protection locked="0"/>
    </xf>
    <xf numFmtId="0" fontId="6" fillId="41" borderId="11" xfId="0" applyFont="1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>
      <alignment/>
    </xf>
    <xf numFmtId="0" fontId="0" fillId="38" borderId="15" xfId="0" applyFill="1" applyBorder="1" applyAlignment="1">
      <alignment/>
    </xf>
    <xf numFmtId="172" fontId="3" fillId="0" borderId="4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1" borderId="25" xfId="0" applyFill="1" applyBorder="1" applyAlignment="1" applyProtection="1">
      <alignment/>
      <protection locked="0"/>
    </xf>
    <xf numFmtId="0" fontId="0" fillId="41" borderId="26" xfId="0" applyFill="1" applyBorder="1" applyAlignment="1" applyProtection="1">
      <alignment/>
      <protection locked="0"/>
    </xf>
    <xf numFmtId="0" fontId="0" fillId="41" borderId="27" xfId="0" applyFill="1" applyBorder="1" applyAlignment="1" applyProtection="1">
      <alignment/>
      <protection locked="0"/>
    </xf>
    <xf numFmtId="0" fontId="0" fillId="41" borderId="28" xfId="0" applyFill="1" applyBorder="1" applyAlignment="1" applyProtection="1">
      <alignment/>
      <protection locked="0"/>
    </xf>
    <xf numFmtId="0" fontId="0" fillId="41" borderId="29" xfId="0" applyFill="1" applyBorder="1" applyAlignment="1" applyProtection="1">
      <alignment/>
      <protection locked="0"/>
    </xf>
    <xf numFmtId="0" fontId="0" fillId="41" borderId="30" xfId="0" applyFill="1" applyBorder="1" applyAlignment="1" applyProtection="1">
      <alignment/>
      <protection locked="0"/>
    </xf>
    <xf numFmtId="0" fontId="0" fillId="41" borderId="31" xfId="0" applyFill="1" applyBorder="1" applyAlignment="1" applyProtection="1">
      <alignment/>
      <protection locked="0"/>
    </xf>
    <xf numFmtId="166" fontId="3" fillId="41" borderId="13" xfId="0" applyNumberFormat="1" applyFont="1" applyFill="1" applyBorder="1" applyAlignment="1" applyProtection="1">
      <alignment horizontal="center"/>
      <protection locked="0"/>
    </xf>
    <xf numFmtId="14" fontId="0" fillId="41" borderId="4" xfId="0" applyNumberFormat="1" applyFont="1" applyFill="1" applyBorder="1" applyAlignment="1" applyProtection="1">
      <alignment vertical="center"/>
      <protection locked="0"/>
    </xf>
    <xf numFmtId="0" fontId="10" fillId="41" borderId="4" xfId="0" applyFont="1" applyFill="1" applyBorder="1" applyAlignment="1" applyProtection="1">
      <alignment vertical="center"/>
      <protection locked="0"/>
    </xf>
    <xf numFmtId="0" fontId="10" fillId="41" borderId="4" xfId="0" applyFont="1" applyFill="1" applyBorder="1" applyAlignment="1" applyProtection="1">
      <alignment horizontal="center" vertical="center"/>
      <protection locked="0"/>
    </xf>
    <xf numFmtId="14" fontId="10" fillId="41" borderId="4" xfId="0" applyNumberFormat="1" applyFont="1" applyFill="1" applyBorder="1" applyAlignment="1" applyProtection="1">
      <alignment horizontal="center" vertical="center"/>
      <protection locked="0"/>
    </xf>
    <xf numFmtId="0" fontId="32" fillId="42" borderId="25" xfId="0" applyFont="1" applyFill="1" applyBorder="1" applyAlignment="1">
      <alignment vertical="center"/>
    </xf>
    <xf numFmtId="0" fontId="0" fillId="43" borderId="32" xfId="0" applyFill="1" applyBorder="1" applyAlignment="1">
      <alignment/>
    </xf>
    <xf numFmtId="0" fontId="0" fillId="43" borderId="32" xfId="0" applyFill="1" applyBorder="1" applyAlignment="1">
      <alignment horizontal="center"/>
    </xf>
    <xf numFmtId="0" fontId="0" fillId="43" borderId="31" xfId="0" applyFill="1" applyBorder="1" applyAlignment="1">
      <alignment/>
    </xf>
    <xf numFmtId="0" fontId="22" fillId="0" borderId="0" xfId="0" applyFont="1" applyAlignment="1">
      <alignment/>
    </xf>
    <xf numFmtId="14" fontId="71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2" fillId="37" borderId="25" xfId="0" applyFont="1" applyFill="1" applyBorder="1" applyAlignment="1">
      <alignment vertical="center" wrapText="1"/>
    </xf>
    <xf numFmtId="0" fontId="72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19" fillId="37" borderId="25" xfId="0" applyFont="1" applyFill="1" applyBorder="1" applyAlignment="1">
      <alignment vertical="center" wrapText="1"/>
    </xf>
    <xf numFmtId="1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3" fillId="37" borderId="30" xfId="0" applyFont="1" applyFill="1" applyBorder="1" applyAlignment="1">
      <alignment vertical="center"/>
    </xf>
    <xf numFmtId="0" fontId="0" fillId="0" borderId="4" xfId="0" applyBorder="1" applyAlignment="1">
      <alignment horizontal="center" vertical="center" textRotation="90" wrapText="1"/>
    </xf>
    <xf numFmtId="164" fontId="0" fillId="0" borderId="4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3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2" fillId="37" borderId="32" xfId="0" applyFont="1" applyFill="1" applyBorder="1" applyAlignment="1">
      <alignment vertical="center"/>
    </xf>
    <xf numFmtId="0" fontId="12" fillId="37" borderId="31" xfId="0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9" fillId="43" borderId="0" xfId="0" applyFont="1" applyFill="1" applyAlignment="1">
      <alignment horizontal="right"/>
    </xf>
    <xf numFmtId="164" fontId="9" fillId="0" borderId="30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165" fontId="0" fillId="43" borderId="13" xfId="0" applyNumberFormat="1" applyFill="1" applyBorder="1" applyAlignment="1">
      <alignment/>
    </xf>
    <xf numFmtId="165" fontId="9" fillId="0" borderId="13" xfId="0" applyNumberFormat="1" applyFont="1" applyBorder="1" applyAlignment="1">
      <alignment vertical="center"/>
    </xf>
    <xf numFmtId="164" fontId="0" fillId="0" borderId="30" xfId="0" applyNumberFormat="1" applyBorder="1" applyAlignment="1">
      <alignment/>
    </xf>
    <xf numFmtId="0" fontId="7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3" fillId="0" borderId="34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3" fillId="0" borderId="2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10" fillId="44" borderId="4" xfId="0" applyFont="1" applyFill="1" applyBorder="1" applyAlignment="1" applyProtection="1">
      <alignment horizontal="center" vertical="center"/>
      <protection locked="0"/>
    </xf>
    <xf numFmtId="0" fontId="0" fillId="44" borderId="4" xfId="0" applyFill="1" applyBorder="1" applyAlignment="1" applyProtection="1">
      <alignment horizontal="center" vertical="center"/>
      <protection locked="0"/>
    </xf>
    <xf numFmtId="0" fontId="33" fillId="37" borderId="30" xfId="0" applyFont="1" applyFill="1" applyBorder="1" applyAlignment="1">
      <alignment vertical="center"/>
    </xf>
    <xf numFmtId="0" fontId="33" fillId="37" borderId="32" xfId="0" applyFont="1" applyFill="1" applyBorder="1" applyAlignment="1">
      <alignment vertical="center"/>
    </xf>
    <xf numFmtId="0" fontId="33" fillId="37" borderId="31" xfId="0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6" fillId="0" borderId="4" xfId="0" applyFont="1" applyBorder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RREUR" xfId="44"/>
    <cellStyle name="ERREUR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ns nom1" xfId="53"/>
    <cellStyle name="Sans nom2" xfId="54"/>
    <cellStyle name="Sans nom3" xfId="55"/>
    <cellStyle name="Sans nom4" xfId="56"/>
    <cellStyle name="Sans nom5" xfId="57"/>
    <cellStyle name="Sans nom6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19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35"/>
          <bgColor indexed="15"/>
        </patternFill>
      </fill>
    </dxf>
    <dxf>
      <fill>
        <patternFill patternType="solid">
          <fgColor indexed="35"/>
          <bgColor indexed="15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border>
        <left style="thin"/>
        <right style="thin"/>
        <top style="thin"/>
        <bottom style="thin"/>
      </border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7"/>
  <sheetViews>
    <sheetView showZeros="0" zoomScale="110" zoomScaleNormal="110" zoomScalePageLayoutView="0" workbookViewId="0" topLeftCell="A1">
      <selection activeCell="C16" sqref="C16"/>
    </sheetView>
  </sheetViews>
  <sheetFormatPr defaultColWidth="11.421875" defaultRowHeight="12.75" customHeight="1"/>
  <cols>
    <col min="1" max="1" width="29.8515625" style="1" customWidth="1"/>
    <col min="2" max="2" width="34.7109375" style="2" customWidth="1"/>
    <col min="3" max="3" width="12.7109375" style="0" customWidth="1"/>
    <col min="4" max="6" width="10.140625" style="0" customWidth="1"/>
    <col min="7" max="7" width="9.28125" style="3" customWidth="1"/>
    <col min="8" max="8" width="10.140625" style="0" customWidth="1"/>
  </cols>
  <sheetData>
    <row r="1" spans="1:7" ht="15" customHeight="1">
      <c r="A1" s="4" t="str">
        <f>"Association des Amis du Lauzet (ADAL) - "&amp;Tarifs!C1&amp;" - www.labarotte.com"</f>
        <v>Association des Amis du Lauzet (ADAL) - 2023 - www.labarotte.com</v>
      </c>
      <c r="B1" s="5"/>
      <c r="G1"/>
    </row>
    <row r="2" ht="12.75" customHeight="1">
      <c r="A2" s="6"/>
    </row>
    <row r="3" spans="1:8" ht="18" customHeight="1">
      <c r="A3" s="7" t="s">
        <v>0</v>
      </c>
      <c r="B3" s="8"/>
      <c r="C3" s="9"/>
      <c r="D3" s="9"/>
      <c r="E3" s="9"/>
      <c r="F3" s="9"/>
      <c r="G3" s="10"/>
      <c r="H3" s="11"/>
    </row>
    <row r="4" spans="1:2" ht="18" customHeight="1">
      <c r="A4" s="12"/>
      <c r="B4" s="13"/>
    </row>
    <row r="5" spans="1:2" ht="24.75" customHeight="1">
      <c r="A5" s="14" t="s">
        <v>1</v>
      </c>
      <c r="B5" s="13"/>
    </row>
    <row r="6" spans="1:2" ht="18" customHeight="1">
      <c r="A6" s="12"/>
      <c r="B6" s="13"/>
    </row>
    <row r="7" spans="1:7" s="17" customFormat="1" ht="15" customHeight="1">
      <c r="A7" s="15" t="str">
        <f>Tarifs!A5</f>
        <v>Semaine 1</v>
      </c>
      <c r="B7" s="5"/>
      <c r="C7" s="16">
        <f>Tarifs!H5</f>
        <v>45130</v>
      </c>
      <c r="G7" s="18"/>
    </row>
    <row r="8" spans="1:7" s="17" customFormat="1" ht="15" customHeight="1">
      <c r="A8" s="15" t="str">
        <f>Tarifs!A6</f>
        <v>Semaine 2</v>
      </c>
      <c r="B8" s="5"/>
      <c r="C8" s="19"/>
      <c r="G8" s="18"/>
    </row>
    <row r="9" spans="1:7" s="17" customFormat="1" ht="15" customHeight="1">
      <c r="A9" s="15" t="str">
        <f>Tarifs!A7</f>
        <v>Semaine 3</v>
      </c>
      <c r="B9" s="5"/>
      <c r="C9" s="16">
        <f>Tarifs!I7</f>
        <v>45151</v>
      </c>
      <c r="G9" s="18"/>
    </row>
    <row r="10" spans="1:6" ht="12.75" customHeight="1">
      <c r="A10" s="20"/>
      <c r="B10" s="21"/>
      <c r="E10" s="22"/>
      <c r="F10" s="22"/>
    </row>
    <row r="11" spans="1:8" ht="25.5" customHeight="1">
      <c r="A11" s="23" t="s">
        <v>2</v>
      </c>
      <c r="B11" s="23" t="s">
        <v>3</v>
      </c>
      <c r="C11" s="24" t="s">
        <v>4</v>
      </c>
      <c r="D11" s="24" t="s">
        <v>5</v>
      </c>
      <c r="E11" s="24" t="s">
        <v>6</v>
      </c>
      <c r="F11" s="25" t="s">
        <v>7</v>
      </c>
      <c r="G11" s="26" t="s">
        <v>8</v>
      </c>
      <c r="H11" s="25" t="s">
        <v>9</v>
      </c>
    </row>
    <row r="12" spans="1:8" ht="18" customHeight="1">
      <c r="A12" s="164"/>
      <c r="B12" s="164"/>
      <c r="C12" s="27">
        <f>Tarifs!E29</f>
        <v>19</v>
      </c>
      <c r="D12" s="162"/>
      <c r="E12" s="162"/>
      <c r="F12" s="28">
        <f>DAYS360(D12,E12)</f>
        <v>0</v>
      </c>
      <c r="G12" s="29">
        <f>F12*Tarifs!$E$26</f>
        <v>0</v>
      </c>
      <c r="H12" s="30">
        <f>IF(AND(T(A12)&lt;&gt;"",T(B12)&lt;&gt;""),C12*F12+G12,"")</f>
      </c>
    </row>
    <row r="13" spans="1:7" ht="12.75" customHeight="1">
      <c r="A13" s="31"/>
      <c r="B13" s="31"/>
      <c r="C13" s="31"/>
      <c r="D13" s="32"/>
      <c r="F13" s="31"/>
      <c r="G13" s="33"/>
    </row>
    <row r="14" spans="1:5" ht="12.75" customHeight="1">
      <c r="A14" s="34"/>
      <c r="B14"/>
      <c r="D14" s="32"/>
      <c r="E14" s="32"/>
    </row>
    <row r="15" ht="12.75" customHeight="1">
      <c r="A15" s="35" t="s">
        <v>10</v>
      </c>
    </row>
    <row r="16" spans="1:8" ht="15.75" customHeight="1">
      <c r="A16" s="6"/>
      <c r="B16" t="s">
        <v>11</v>
      </c>
      <c r="C16" s="36">
        <f>H16</f>
        <v>0</v>
      </c>
      <c r="D16" s="1"/>
      <c r="E16" s="1"/>
      <c r="F16" s="37" t="s">
        <v>12</v>
      </c>
      <c r="G16" s="37"/>
      <c r="H16" s="38">
        <f>IF(H12&lt;&gt;"",H12*0.2,0)</f>
        <v>0</v>
      </c>
    </row>
    <row r="17" spans="1:8" ht="15.75" customHeight="1">
      <c r="A17" s="6"/>
      <c r="B17" t="s">
        <v>13</v>
      </c>
      <c r="C17" s="36">
        <f>H17</f>
      </c>
      <c r="D17" s="1"/>
      <c r="E17" s="1"/>
      <c r="F17" s="39" t="s">
        <v>14</v>
      </c>
      <c r="G17" s="40"/>
      <c r="H17" s="41">
        <f>IF(H12&lt;&gt;"",Tarifs!E28,"")</f>
      </c>
    </row>
    <row r="18" spans="1:5" ht="12.75" customHeight="1">
      <c r="A18" s="35" t="s">
        <v>15</v>
      </c>
      <c r="B18"/>
      <c r="C18" s="1"/>
      <c r="D18" s="1"/>
      <c r="E18" s="1"/>
    </row>
    <row r="19" spans="1:8" ht="14.25" customHeight="1">
      <c r="A19" s="6"/>
      <c r="B19" s="15" t="str">
        <f>Tarifs!C33</f>
        <v>Zoé de Chanlaire et Thibault Di Tucci</v>
      </c>
      <c r="C19" s="31"/>
      <c r="D19" s="31"/>
      <c r="E19" s="31"/>
      <c r="F19" s="42" t="s">
        <v>16</v>
      </c>
      <c r="G19" s="43"/>
      <c r="H19" s="44">
        <f>IF(H16&lt;&gt;0,H16-H17,"")</f>
      </c>
    </row>
    <row r="20" spans="1:8" ht="14.25" customHeight="1">
      <c r="A20" s="6"/>
      <c r="B20" s="15" t="str">
        <f>Tarifs!C34</f>
        <v>53 rue Marx Dormoy</v>
      </c>
      <c r="C20" s="31"/>
      <c r="D20" s="31"/>
      <c r="E20" s="31"/>
      <c r="F20" s="33"/>
      <c r="G20" s="33"/>
      <c r="H20" s="45"/>
    </row>
    <row r="21" spans="1:8" ht="14.25" customHeight="1">
      <c r="A21" s="6"/>
      <c r="B21" s="15" t="str">
        <f>Tarifs!C35</f>
        <v>38000 - Grenoble</v>
      </c>
      <c r="C21" s="31"/>
      <c r="D21" s="31"/>
      <c r="E21" s="31"/>
      <c r="F21" s="33"/>
      <c r="G21" s="33"/>
      <c r="H21" s="45"/>
    </row>
    <row r="22" spans="1:8" ht="12.75" customHeight="1">
      <c r="A22" s="6"/>
      <c r="B22"/>
      <c r="C22" s="31"/>
      <c r="D22" s="31"/>
      <c r="E22" s="31"/>
      <c r="F22" s="33"/>
      <c r="G22" s="33"/>
      <c r="H22" s="45"/>
    </row>
    <row r="23" spans="1:2" ht="12.75" customHeight="1">
      <c r="A23" s="46" t="s">
        <v>17</v>
      </c>
      <c r="B23"/>
    </row>
    <row r="24" spans="1:8" ht="12.75" customHeight="1">
      <c r="A24" s="47" t="s">
        <v>18</v>
      </c>
      <c r="B24" s="1"/>
      <c r="C24" s="1"/>
      <c r="D24" s="1"/>
      <c r="E24" s="1"/>
      <c r="F24" s="1"/>
      <c r="G24" s="1"/>
      <c r="H24" s="1"/>
    </row>
    <row r="25" spans="1:8" ht="12.75" customHeight="1">
      <c r="A25" s="1" t="e">
        <f>'Inscription Famille'!#REF!</f>
        <v>#REF!</v>
      </c>
      <c r="B25" s="1"/>
      <c r="C25" s="1"/>
      <c r="D25" s="1"/>
      <c r="E25" s="1"/>
      <c r="F25" s="1"/>
      <c r="G25" s="1"/>
      <c r="H25" s="1"/>
    </row>
    <row r="26" spans="1:8" ht="12.75" customHeight="1">
      <c r="A26" s="1" t="e">
        <f>'Inscription Famille'!#REF!</f>
        <v>#REF!</v>
      </c>
      <c r="B26" s="1"/>
      <c r="C26" s="1"/>
      <c r="D26" s="1"/>
      <c r="E26" s="1"/>
      <c r="F26" s="1"/>
      <c r="G26" s="1"/>
      <c r="H26" s="1"/>
    </row>
    <row r="27" spans="1:8" ht="12.75" customHeight="1">
      <c r="A27" s="1" t="e">
        <f>'Inscription Famille'!#REF!</f>
        <v>#REF!</v>
      </c>
      <c r="B27" s="1"/>
      <c r="C27" s="1"/>
      <c r="D27" s="1"/>
      <c r="E27" s="1"/>
      <c r="F27" s="1"/>
      <c r="G27" s="1"/>
      <c r="H27" s="1"/>
    </row>
  </sheetData>
  <sheetProtection sheet="1" objects="1" scenarios="1"/>
  <conditionalFormatting sqref="D12">
    <cfRule type="cellIs" priority="1" dxfId="0" operator="between" stopIfTrue="1">
      <formula>36526</formula>
      <formula>$C$7-1</formula>
    </cfRule>
  </conditionalFormatting>
  <conditionalFormatting sqref="E12">
    <cfRule type="cellIs" priority="2" dxfId="0" operator="between" stopIfTrue="1">
      <formula>$C$9+1</formula>
      <formula>401769</formula>
    </cfRule>
  </conditionalFormatting>
  <printOptions/>
  <pageMargins left="0.6298611111111111" right="0.25" top="0.3298611111111111" bottom="0.6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Zeros="0" tabSelected="1" zoomScale="90" zoomScaleNormal="90" zoomScalePageLayoutView="0" workbookViewId="0" topLeftCell="A1">
      <selection activeCell="C14" sqref="C14"/>
    </sheetView>
  </sheetViews>
  <sheetFormatPr defaultColWidth="11.421875" defaultRowHeight="12.75" customHeight="1"/>
  <cols>
    <col min="1" max="1" width="27.140625" style="0" customWidth="1"/>
    <col min="2" max="2" width="22.28125" style="0" customWidth="1"/>
    <col min="3" max="3" width="13.00390625" style="22" customWidth="1"/>
    <col min="4" max="4" width="10.28125" style="0" bestFit="1" customWidth="1"/>
    <col min="5" max="5" width="14.57421875" style="0" customWidth="1"/>
    <col min="6" max="6" width="12.8515625" style="0" customWidth="1"/>
    <col min="7" max="7" width="3.7109375" style="0" customWidth="1"/>
    <col min="8" max="8" width="12.8515625" style="0" customWidth="1"/>
    <col min="11" max="14" width="3.421875" style="0" customWidth="1"/>
    <col min="15" max="15" width="2.8515625" style="22" customWidth="1"/>
  </cols>
  <sheetData>
    <row r="1" spans="1:7" ht="23.25">
      <c r="A1" s="198" t="str">
        <f>"Association des Amis du Lauzet (ADAL) - "&amp;Tarifs!C1&amp;" - www.barotte.fr"</f>
        <v>Association des Amis du Lauzet (ADAL) - 2023 - www.barotte.fr</v>
      </c>
      <c r="B1" s="199"/>
      <c r="C1" s="200"/>
      <c r="D1" s="199"/>
      <c r="E1" s="199"/>
      <c r="F1" s="201"/>
      <c r="G1" s="202"/>
    </row>
    <row r="2" spans="11:13" ht="12.75" customHeight="1">
      <c r="K2" s="22"/>
      <c r="L2" s="22"/>
      <c r="M2" s="22"/>
    </row>
    <row r="3" spans="1:7" ht="15" customHeight="1">
      <c r="A3" s="169" t="s">
        <v>28</v>
      </c>
      <c r="B3" s="203">
        <f>Tarifs!H5</f>
        <v>45130</v>
      </c>
      <c r="C3" s="204">
        <f>Tarifs!I5</f>
        <v>45137</v>
      </c>
      <c r="D3" s="205" t="s">
        <v>101</v>
      </c>
      <c r="E3" s="6"/>
      <c r="G3" s="6">
        <f>Tarifs!J5</f>
        <v>0</v>
      </c>
    </row>
    <row r="4" spans="1:7" ht="15" customHeight="1">
      <c r="A4" s="169" t="s">
        <v>29</v>
      </c>
      <c r="B4" s="204">
        <f>Tarifs!H6</f>
        <v>45137</v>
      </c>
      <c r="C4" s="204">
        <f>Tarifs!I6</f>
        <v>45144</v>
      </c>
      <c r="D4" s="205" t="s">
        <v>102</v>
      </c>
      <c r="E4" s="6"/>
      <c r="G4" s="6">
        <f>Tarifs!J6</f>
        <v>0</v>
      </c>
    </row>
    <row r="5" spans="1:7" ht="15" customHeight="1">
      <c r="A5" s="169" t="s">
        <v>30</v>
      </c>
      <c r="B5" s="204">
        <f>Tarifs!H7</f>
        <v>45144</v>
      </c>
      <c r="C5" s="203">
        <f>Tarifs!I7</f>
        <v>45151</v>
      </c>
      <c r="D5" s="205" t="s">
        <v>107</v>
      </c>
      <c r="E5" s="6"/>
      <c r="G5" s="6">
        <f>Tarifs!J7</f>
        <v>0</v>
      </c>
    </row>
    <row r="6" spans="11:13" ht="12.75" customHeight="1">
      <c r="K6" s="22"/>
      <c r="L6" s="22"/>
      <c r="M6" s="22"/>
    </row>
    <row r="7" spans="1:15" s="48" customFormat="1" ht="27.75" customHeight="1">
      <c r="A7" s="206" t="s">
        <v>103</v>
      </c>
      <c r="B7" s="206"/>
      <c r="C7" s="206"/>
      <c r="O7" s="207"/>
    </row>
    <row r="8" spans="11:13" ht="12.75" customHeight="1">
      <c r="K8" s="22"/>
      <c r="L8" s="22"/>
      <c r="M8" s="22"/>
    </row>
    <row r="9" spans="1:15" s="48" customFormat="1" ht="18">
      <c r="A9" s="208" t="s">
        <v>81</v>
      </c>
      <c r="B9" s="193"/>
      <c r="C9" s="209" t="e">
        <f>"Tranche "&amp;Tarifs!E12</f>
        <v>#DIV/0!</v>
      </c>
      <c r="O9" s="207"/>
    </row>
    <row r="10" spans="1:15" s="48" customFormat="1" ht="21">
      <c r="A10" s="210" t="s">
        <v>97</v>
      </c>
      <c r="B10" s="207"/>
      <c r="C10" s="207"/>
      <c r="O10" s="207"/>
    </row>
    <row r="11" spans="1:15" s="48" customFormat="1" ht="18">
      <c r="A11" s="210" t="s">
        <v>76</v>
      </c>
      <c r="B11" s="207"/>
      <c r="C11" s="207"/>
      <c r="O11" s="207"/>
    </row>
    <row r="12" spans="1:15" s="48" customFormat="1" ht="18">
      <c r="A12" s="210" t="s">
        <v>77</v>
      </c>
      <c r="B12" s="207"/>
      <c r="C12" s="207"/>
      <c r="O12" s="207"/>
    </row>
    <row r="13" spans="1:15" s="48" customFormat="1" ht="18">
      <c r="A13" s="210"/>
      <c r="B13" s="207"/>
      <c r="C13" s="207"/>
      <c r="O13" s="207"/>
    </row>
    <row r="14" spans="1:7" ht="23.25">
      <c r="A14" s="198" t="str">
        <f>"Association des Amis du Lauzet (ADAL) - "&amp;Tarifs!C1&amp;" - www.barotte.fr"</f>
        <v>Association des Amis du Lauzet (ADAL) - 2023 - www.barotte.fr</v>
      </c>
      <c r="B14" s="199"/>
      <c r="C14" s="200"/>
      <c r="D14" s="199"/>
      <c r="E14" s="199"/>
      <c r="F14" s="201"/>
      <c r="G14" s="202"/>
    </row>
    <row r="15" spans="1:15" s="178" customFormat="1" ht="17.25">
      <c r="A15" s="211"/>
      <c r="B15" s="212"/>
      <c r="C15" s="212"/>
      <c r="O15" s="212"/>
    </row>
    <row r="16" spans="1:15" s="48" customFormat="1" ht="18">
      <c r="A16" s="213" t="s">
        <v>75</v>
      </c>
      <c r="B16" s="187"/>
      <c r="C16" s="188"/>
      <c r="O16" s="207"/>
    </row>
    <row r="17" spans="1:15" s="48" customFormat="1" ht="18">
      <c r="A17" s="207"/>
      <c r="B17" s="191"/>
      <c r="C17" s="192"/>
      <c r="O17" s="207"/>
    </row>
    <row r="18" spans="1:15" s="48" customFormat="1" ht="18">
      <c r="A18" s="58" t="s">
        <v>93</v>
      </c>
      <c r="B18" s="189"/>
      <c r="C18" s="190"/>
      <c r="E18" s="58" t="s">
        <v>94</v>
      </c>
      <c r="F18" s="186"/>
      <c r="O18" s="207"/>
    </row>
    <row r="19" spans="1:15" s="48" customFormat="1" ht="18">
      <c r="A19" s="58" t="s">
        <v>22</v>
      </c>
      <c r="B19" s="189"/>
      <c r="C19" s="190"/>
      <c r="E19" s="58" t="s">
        <v>23</v>
      </c>
      <c r="F19" s="186"/>
      <c r="O19" s="207"/>
    </row>
    <row r="20" spans="1:15" s="48" customFormat="1" ht="18">
      <c r="A20"/>
      <c r="B20"/>
      <c r="D20" s="173"/>
      <c r="E20" s="214"/>
      <c r="F20" s="22"/>
      <c r="G20"/>
      <c r="H20" s="33"/>
      <c r="I20" s="215"/>
      <c r="J20" s="45"/>
      <c r="O20" s="207"/>
    </row>
    <row r="21" spans="1:15" s="178" customFormat="1" ht="20.25">
      <c r="A21" s="247" t="s">
        <v>99</v>
      </c>
      <c r="B21" s="248"/>
      <c r="C21" s="248"/>
      <c r="D21" s="248"/>
      <c r="E21" s="249"/>
      <c r="F21" s="209" t="e">
        <f>C9</f>
        <v>#DIV/0!</v>
      </c>
      <c r="H21" s="48"/>
      <c r="O21" s="212"/>
    </row>
    <row r="22" spans="11:14" ht="12.75" customHeight="1">
      <c r="K22" s="22">
        <f>Tarifs!H16</f>
        <v>18</v>
      </c>
      <c r="L22" s="22">
        <f>Tarifs!I16</f>
        <v>12</v>
      </c>
      <c r="M22" s="22">
        <f>Tarifs!J16</f>
        <v>4</v>
      </c>
      <c r="N22">
        <v>0</v>
      </c>
    </row>
    <row r="23" spans="1:14" ht="35.25" customHeight="1">
      <c r="A23" s="28" t="s">
        <v>2</v>
      </c>
      <c r="B23" s="28" t="s">
        <v>3</v>
      </c>
      <c r="C23" s="56" t="s">
        <v>80</v>
      </c>
      <c r="D23" s="28" t="s">
        <v>7</v>
      </c>
      <c r="E23" s="56" t="s">
        <v>5</v>
      </c>
      <c r="F23" s="56" t="s">
        <v>6</v>
      </c>
      <c r="H23" s="24" t="e">
        <f>"Tarif
unitaire
tranche "&amp;Tarifs!E12</f>
        <v>#DIV/0!</v>
      </c>
      <c r="I23" s="57" t="s">
        <v>8</v>
      </c>
      <c r="J23" s="28" t="s">
        <v>9</v>
      </c>
      <c r="K23" s="49"/>
      <c r="L23" s="49"/>
      <c r="M23" s="49"/>
      <c r="N23" s="217"/>
    </row>
    <row r="24" spans="1:14" ht="15.75" customHeight="1">
      <c r="A24" s="195"/>
      <c r="B24" s="195"/>
      <c r="C24" s="196"/>
      <c r="D24" s="245"/>
      <c r="E24" s="197"/>
      <c r="F24" s="197"/>
      <c r="H24" s="218">
        <f>IF(C24&lt;$M$22,0,IF(C24&lt;$L$22,Tarifs!$H$12,IF(C24&lt;$K$22,Tarifs!$G$12,Tarifs!$F$12)))</f>
        <v>0</v>
      </c>
      <c r="I24" s="29">
        <f>IF(OR(T(A24)&lt;&gt;"",T(B24)&lt;&gt;""),IF(C24&gt;=$K$22,D24*Tarifs!$E$26,0),0)</f>
        <v>0</v>
      </c>
      <c r="J24" s="30">
        <f aca="true" t="shared" si="0" ref="J24:J30">IF(OR(T(A24)&lt;&gt;"",T(B24)&lt;&gt;""),H24*D24+I24,0)</f>
        <v>0</v>
      </c>
      <c r="K24" s="77">
        <f aca="true" t="shared" si="1" ref="K24:K30">IF(C24&gt;=$K$22,1,0)</f>
        <v>0</v>
      </c>
      <c r="L24" s="77">
        <f aca="true" t="shared" si="2" ref="L24:L30">IF(AND(C24&gt;=$L$22,C24&lt;$K$22),1,0)</f>
        <v>0</v>
      </c>
      <c r="M24" s="77">
        <f aca="true" t="shared" si="3" ref="M24:M30">IF(AND(C24&gt;=$M$22,C24&lt;$L$22),1,0)</f>
        <v>0</v>
      </c>
      <c r="N24" s="77">
        <f aca="true" t="shared" si="4" ref="N24:N30">IF(AND(C24&lt;&gt;"",C24&lt;$M$22),1,0)</f>
        <v>0</v>
      </c>
    </row>
    <row r="25" spans="1:14" ht="15.75" customHeight="1">
      <c r="A25" s="194">
        <f aca="true" t="shared" si="5" ref="A25:A30">IF($A$24&lt;&gt;"",$A$24,"")</f>
      </c>
      <c r="B25" s="194"/>
      <c r="C25" s="179"/>
      <c r="D25" s="246">
        <f aca="true" t="shared" si="6" ref="D25:D30">IF($D$24&lt;&gt;"",$D$24,"")</f>
      </c>
      <c r="E25" s="180">
        <f aca="true" t="shared" si="7" ref="E25:E30">IF($E$24&lt;&gt;"",$E$24,"")</f>
      </c>
      <c r="F25" s="180">
        <f aca="true" t="shared" si="8" ref="F25:F30">IF($F$24&lt;&gt;"",$F$24,"")</f>
      </c>
      <c r="H25" s="218">
        <f>IF(C25&lt;$M$22,0,IF(C25&lt;$L$22,Tarifs!$H$12,IF(C25&lt;$K$22,Tarifs!$G$12,Tarifs!$F$12)))</f>
        <v>0</v>
      </c>
      <c r="I25" s="29">
        <f>IF(OR(T(A25)&lt;&gt;"",T(B25)&lt;&gt;""),IF(C25&gt;=$K$22,D25*Tarifs!$E$26,0),0)</f>
        <v>0</v>
      </c>
      <c r="J25" s="30">
        <f t="shared" si="0"/>
        <v>0</v>
      </c>
      <c r="K25" s="77">
        <f t="shared" si="1"/>
        <v>0</v>
      </c>
      <c r="L25" s="77">
        <f t="shared" si="2"/>
        <v>0</v>
      </c>
      <c r="M25" s="77">
        <f t="shared" si="3"/>
        <v>0</v>
      </c>
      <c r="N25" s="77">
        <f t="shared" si="4"/>
        <v>0</v>
      </c>
    </row>
    <row r="26" spans="1:14" ht="15.75" customHeight="1">
      <c r="A26" s="194">
        <f t="shared" si="5"/>
      </c>
      <c r="B26" s="194"/>
      <c r="C26" s="179"/>
      <c r="D26" s="246">
        <f t="shared" si="6"/>
      </c>
      <c r="E26" s="180">
        <f t="shared" si="7"/>
      </c>
      <c r="F26" s="180">
        <f t="shared" si="8"/>
      </c>
      <c r="H26" s="218">
        <f>IF(C26&lt;$M$22,0,IF(C26&lt;$L$22,Tarifs!$H$12,IF(C26&lt;$K$22,Tarifs!$G$12,Tarifs!$F$12)))</f>
        <v>0</v>
      </c>
      <c r="I26" s="29">
        <f>IF(OR(T(A26)&lt;&gt;"",T(B26)&lt;&gt;""),IF(C26&gt;=$K$22,D26*Tarifs!$E$26,0),0)</f>
        <v>0</v>
      </c>
      <c r="J26" s="30">
        <f t="shared" si="0"/>
        <v>0</v>
      </c>
      <c r="K26" s="77">
        <f t="shared" si="1"/>
        <v>0</v>
      </c>
      <c r="L26" s="77">
        <f t="shared" si="2"/>
        <v>0</v>
      </c>
      <c r="M26" s="77">
        <f t="shared" si="3"/>
        <v>0</v>
      </c>
      <c r="N26" s="77">
        <f t="shared" si="4"/>
        <v>0</v>
      </c>
    </row>
    <row r="27" spans="1:14" ht="15.75" customHeight="1">
      <c r="A27" s="194">
        <f t="shared" si="5"/>
      </c>
      <c r="B27" s="194"/>
      <c r="C27" s="179"/>
      <c r="D27" s="246">
        <f t="shared" si="6"/>
      </c>
      <c r="E27" s="180">
        <f t="shared" si="7"/>
      </c>
      <c r="F27" s="180">
        <f t="shared" si="8"/>
      </c>
      <c r="H27" s="218">
        <f>IF(C27&lt;$M$22,0,IF(C27&lt;$L$22,Tarifs!$H$12,IF(C27&lt;$K$22,Tarifs!$G$12,Tarifs!$F$12)))</f>
        <v>0</v>
      </c>
      <c r="I27" s="29">
        <f>IF(OR(T(A27)&lt;&gt;"",T(B27)&lt;&gt;""),IF(C27&gt;=$K$22,D27*Tarifs!$E$26,0),0)</f>
        <v>0</v>
      </c>
      <c r="J27" s="30">
        <f t="shared" si="0"/>
        <v>0</v>
      </c>
      <c r="K27" s="77">
        <f t="shared" si="1"/>
        <v>0</v>
      </c>
      <c r="L27" s="77">
        <f t="shared" si="2"/>
        <v>0</v>
      </c>
      <c r="M27" s="77">
        <f t="shared" si="3"/>
        <v>0</v>
      </c>
      <c r="N27" s="77">
        <f t="shared" si="4"/>
        <v>0</v>
      </c>
    </row>
    <row r="28" spans="1:14" ht="15.75" customHeight="1">
      <c r="A28" s="194">
        <f t="shared" si="5"/>
      </c>
      <c r="B28" s="194"/>
      <c r="C28" s="179"/>
      <c r="D28" s="246">
        <f t="shared" si="6"/>
      </c>
      <c r="E28" s="180">
        <f t="shared" si="7"/>
      </c>
      <c r="F28" s="180">
        <f t="shared" si="8"/>
      </c>
      <c r="H28" s="218">
        <f>IF(C28&lt;$M$22,0,IF(C28&lt;$L$22,Tarifs!$H$12,IF(C28&lt;$K$22,Tarifs!$G$12,Tarifs!$F$12)))</f>
        <v>0</v>
      </c>
      <c r="I28" s="29">
        <f>IF(OR(T(A28)&lt;&gt;"",T(B28)&lt;&gt;""),IF(C28&gt;=$K$22,D28*Tarifs!$E$26,0),0)</f>
        <v>0</v>
      </c>
      <c r="J28" s="30">
        <f t="shared" si="0"/>
        <v>0</v>
      </c>
      <c r="K28" s="77">
        <f t="shared" si="1"/>
        <v>0</v>
      </c>
      <c r="L28" s="77">
        <f t="shared" si="2"/>
        <v>0</v>
      </c>
      <c r="M28" s="77">
        <f t="shared" si="3"/>
        <v>0</v>
      </c>
      <c r="N28" s="77">
        <f t="shared" si="4"/>
        <v>0</v>
      </c>
    </row>
    <row r="29" spans="1:14" ht="15.75" customHeight="1">
      <c r="A29" s="194">
        <f t="shared" si="5"/>
      </c>
      <c r="B29" s="194"/>
      <c r="C29" s="179"/>
      <c r="D29" s="246">
        <f t="shared" si="6"/>
      </c>
      <c r="E29" s="180">
        <f t="shared" si="7"/>
      </c>
      <c r="F29" s="180">
        <f t="shared" si="8"/>
      </c>
      <c r="H29" s="218">
        <f>IF(C29&lt;$M$22,0,IF(C29&lt;$L$22,Tarifs!$H$12,IF(C29&lt;$K$22,Tarifs!$G$12,Tarifs!$F$12)))</f>
        <v>0</v>
      </c>
      <c r="I29" s="29">
        <f>IF(OR(T(A29)&lt;&gt;"",T(B29)&lt;&gt;""),IF(C29&gt;=$K$22,D29*Tarifs!$E$26,0),0)</f>
        <v>0</v>
      </c>
      <c r="J29" s="30">
        <f t="shared" si="0"/>
        <v>0</v>
      </c>
      <c r="K29" s="77">
        <f t="shared" si="1"/>
        <v>0</v>
      </c>
      <c r="L29" s="77">
        <f t="shared" si="2"/>
        <v>0</v>
      </c>
      <c r="M29" s="77">
        <f t="shared" si="3"/>
        <v>0</v>
      </c>
      <c r="N29" s="77">
        <f t="shared" si="4"/>
        <v>0</v>
      </c>
    </row>
    <row r="30" spans="1:14" ht="15.75" customHeight="1">
      <c r="A30" s="194">
        <f t="shared" si="5"/>
      </c>
      <c r="B30" s="194"/>
      <c r="C30" s="181"/>
      <c r="D30" s="246">
        <f t="shared" si="6"/>
      </c>
      <c r="E30" s="180">
        <f t="shared" si="7"/>
      </c>
      <c r="F30" s="180">
        <f t="shared" si="8"/>
      </c>
      <c r="H30" s="218">
        <f>IF(C30&lt;$M$22,0,IF(C30&lt;$L$22,Tarifs!$H$12,IF(C30&lt;$K$22,Tarifs!$G$12,Tarifs!$F$12)))</f>
        <v>0</v>
      </c>
      <c r="I30" s="29">
        <f>IF(OR(T(A30)&lt;&gt;"",T(B30)&lt;&gt;""),IF(C30&gt;=$K$22,D30*Tarifs!$E$26,0),0)</f>
        <v>0</v>
      </c>
      <c r="J30" s="30">
        <f t="shared" si="0"/>
        <v>0</v>
      </c>
      <c r="K30" s="77">
        <f t="shared" si="1"/>
        <v>0</v>
      </c>
      <c r="L30" s="77">
        <f t="shared" si="2"/>
        <v>0</v>
      </c>
      <c r="M30" s="77">
        <f t="shared" si="3"/>
        <v>0</v>
      </c>
      <c r="N30" s="77">
        <f t="shared" si="4"/>
        <v>0</v>
      </c>
    </row>
    <row r="31" spans="1:15" ht="15.75" customHeight="1">
      <c r="A31" s="219"/>
      <c r="B31" s="220">
        <f>COUNTA(B24:B30)</f>
        <v>0</v>
      </c>
      <c r="C31" s="221"/>
      <c r="D31" s="173"/>
      <c r="E31" s="214"/>
      <c r="F31" s="214"/>
      <c r="I31" s="30">
        <f aca="true" t="shared" si="9" ref="I31:N31">SUM(I24:I30)</f>
        <v>0</v>
      </c>
      <c r="J31" s="30">
        <f t="shared" si="9"/>
        <v>0</v>
      </c>
      <c r="K31" s="222">
        <f t="shared" si="9"/>
        <v>0</v>
      </c>
      <c r="L31" s="222">
        <f t="shared" si="9"/>
        <v>0</v>
      </c>
      <c r="M31" s="222">
        <f t="shared" si="9"/>
        <v>0</v>
      </c>
      <c r="N31" s="222">
        <f t="shared" si="9"/>
        <v>0</v>
      </c>
      <c r="O31" s="223">
        <f>SUM(K31:N31)</f>
        <v>0</v>
      </c>
    </row>
    <row r="32" spans="1:15" ht="15.75" customHeight="1">
      <c r="A32" s="219"/>
      <c r="B32" s="22"/>
      <c r="C32" s="221"/>
      <c r="D32" s="173"/>
      <c r="E32" s="214"/>
      <c r="F32" s="214"/>
      <c r="I32" s="45"/>
      <c r="J32" s="45"/>
      <c r="K32" s="223"/>
      <c r="L32" s="223"/>
      <c r="M32" s="223"/>
      <c r="N32" s="223"/>
      <c r="O32" s="223"/>
    </row>
    <row r="33" spans="1:15" ht="20.25">
      <c r="A33" s="216" t="s">
        <v>100</v>
      </c>
      <c r="B33" s="224"/>
      <c r="C33" s="224"/>
      <c r="D33" s="224"/>
      <c r="E33" s="224"/>
      <c r="F33" s="225"/>
      <c r="G33" s="48"/>
      <c r="H33" s="48"/>
      <c r="I33" s="48"/>
      <c r="J33" s="48"/>
      <c r="K33" s="48"/>
      <c r="L33" s="223"/>
      <c r="M33" s="223"/>
      <c r="N33" s="223"/>
      <c r="O33" s="223"/>
    </row>
    <row r="34" spans="11:15" ht="15.75" customHeight="1">
      <c r="K34" s="22">
        <f>Tarifs!D29</f>
        <v>25</v>
      </c>
      <c r="L34" s="223"/>
      <c r="M34" s="223"/>
      <c r="N34" s="223"/>
      <c r="O34" s="223"/>
    </row>
    <row r="35" spans="1:15" ht="25.5">
      <c r="A35" s="28" t="s">
        <v>2</v>
      </c>
      <c r="B35" s="28" t="s">
        <v>3</v>
      </c>
      <c r="C35" s="56" t="s">
        <v>80</v>
      </c>
      <c r="D35" s="28" t="s">
        <v>7</v>
      </c>
      <c r="E35" s="56" t="s">
        <v>5</v>
      </c>
      <c r="F35" s="56" t="s">
        <v>6</v>
      </c>
      <c r="H35" s="24" t="s">
        <v>98</v>
      </c>
      <c r="I35" s="57" t="s">
        <v>8</v>
      </c>
      <c r="J35" s="28" t="s">
        <v>9</v>
      </c>
      <c r="K35" s="48"/>
      <c r="L35" s="223"/>
      <c r="M35" s="223"/>
      <c r="N35" s="223"/>
      <c r="O35" s="223"/>
    </row>
    <row r="36" spans="1:15" ht="15.75" customHeight="1">
      <c r="A36" s="195"/>
      <c r="B36" s="195"/>
      <c r="C36" s="196"/>
      <c r="D36" s="245"/>
      <c r="E36" s="197"/>
      <c r="F36" s="197"/>
      <c r="H36" s="218">
        <f>Tarifs!E29</f>
        <v>19</v>
      </c>
      <c r="I36" s="29">
        <f>IF(OR(T(A36)&lt;&gt;"",T(B36)&lt;&gt;""),IF(AND(C36&gt;=$K$22,C36&lt;=$K$34),D36*Tarifs!$E$26,0),0)</f>
        <v>0</v>
      </c>
      <c r="J36" s="30">
        <f>IF(OR(T(A36)&lt;&gt;"",T(B36)&lt;&gt;""),H36*D36+I36,0)</f>
        <v>0</v>
      </c>
      <c r="K36" s="77">
        <f>IF(B31&gt;0,0,IF(C36&gt;=$K$22,1,0))</f>
        <v>0</v>
      </c>
      <c r="L36" s="223"/>
      <c r="M36" s="223"/>
      <c r="N36" s="223"/>
      <c r="O36" s="223"/>
    </row>
    <row r="37" spans="1:15" ht="15.75" customHeight="1">
      <c r="A37" s="219"/>
      <c r="B37" s="22"/>
      <c r="C37" s="221"/>
      <c r="D37" s="173"/>
      <c r="E37" s="214"/>
      <c r="F37" s="214"/>
      <c r="I37" s="45"/>
      <c r="J37" s="45"/>
      <c r="K37" s="223"/>
      <c r="L37" s="223"/>
      <c r="M37" s="223"/>
      <c r="N37" s="223"/>
      <c r="O37" s="223"/>
    </row>
    <row r="38" spans="1:9" ht="15.75">
      <c r="A38" s="67" t="s">
        <v>87</v>
      </c>
      <c r="B38" s="2"/>
      <c r="C38" s="2"/>
      <c r="I38" s="3"/>
    </row>
    <row r="39" spans="1:9" ht="15.75">
      <c r="A39" s="226" t="s">
        <v>96</v>
      </c>
      <c r="B39" s="2"/>
      <c r="C39" s="2"/>
      <c r="I39" s="3"/>
    </row>
    <row r="40" spans="1:9" ht="15.75">
      <c r="A40" s="67"/>
      <c r="B40" s="2"/>
      <c r="C40" s="2"/>
      <c r="I40" s="3"/>
    </row>
    <row r="41" spans="1:17" ht="18.75">
      <c r="A41" s="227" t="s">
        <v>95</v>
      </c>
      <c r="B41" s="2"/>
      <c r="C41" s="2"/>
      <c r="I41" s="3"/>
      <c r="Q41">
        <f>IF(K36=1,J36,IF(B31&gt;=1,J31,0))</f>
        <v>0</v>
      </c>
    </row>
    <row r="42" spans="1:9" ht="12.75" customHeight="1">
      <c r="A42" s="67"/>
      <c r="B42" s="2"/>
      <c r="C42" s="2"/>
      <c r="I42" s="3"/>
    </row>
    <row r="43" spans="1:9" ht="12.75" customHeight="1">
      <c r="A43" s="228" t="s">
        <v>86</v>
      </c>
      <c r="B43" s="229" t="s">
        <v>82</v>
      </c>
      <c r="C43" s="230"/>
      <c r="D43" s="231">
        <f>IF(K36=1,Tarifs!E28,IF(B31=1,Tarifs!E28,IF(B31&gt;1,Tarifs!E27,0)))</f>
        <v>0</v>
      </c>
      <c r="E43">
        <f>IF(K36=1,Tarifs!E28,0)</f>
        <v>0</v>
      </c>
      <c r="I43" s="3"/>
    </row>
    <row r="44" spans="1:9" ht="12.75" customHeight="1">
      <c r="A44" s="67"/>
      <c r="B44" s="2"/>
      <c r="C44" s="2"/>
      <c r="I44" s="3"/>
    </row>
    <row r="45" spans="1:9" ht="12.75" customHeight="1">
      <c r="A45" s="67"/>
      <c r="B45" s="84" t="s">
        <v>83</v>
      </c>
      <c r="C45" s="43"/>
      <c r="D45" s="232">
        <f>IF(K36=1,J36,IF(B31&gt;=1,J31,0))</f>
        <v>0</v>
      </c>
      <c r="I45" s="3"/>
    </row>
    <row r="46" spans="1:9" ht="12.75" customHeight="1">
      <c r="A46" s="67"/>
      <c r="B46" s="2"/>
      <c r="C46" s="2"/>
      <c r="I46" s="3"/>
    </row>
    <row r="47" spans="1:9" ht="12.75" customHeight="1">
      <c r="A47" s="228" t="s">
        <v>85</v>
      </c>
      <c r="B47" s="233" t="s">
        <v>12</v>
      </c>
      <c r="C47" s="230"/>
      <c r="D47" s="231">
        <f>J31*0.2+J36*0.2</f>
        <v>0</v>
      </c>
      <c r="I47" s="3"/>
    </row>
    <row r="48" spans="1:9" ht="12.75" customHeight="1">
      <c r="A48" s="67"/>
      <c r="C48" s="3"/>
      <c r="I48" s="3"/>
    </row>
    <row r="49" spans="1:9" ht="12.75" customHeight="1">
      <c r="A49" s="67"/>
      <c r="B49" s="42" t="s">
        <v>16</v>
      </c>
      <c r="C49" s="43"/>
      <c r="D49" s="44">
        <f>D45-D47</f>
        <v>0</v>
      </c>
      <c r="I49" s="3"/>
    </row>
    <row r="50" spans="1:9" ht="12.75" customHeight="1">
      <c r="A50" s="67"/>
      <c r="B50" s="86" t="s">
        <v>34</v>
      </c>
      <c r="C50" s="33"/>
      <c r="D50" s="45"/>
      <c r="I50" s="3"/>
    </row>
    <row r="51" spans="1:9" ht="12.75" customHeight="1">
      <c r="A51" s="67"/>
      <c r="C51"/>
      <c r="I51" s="3"/>
    </row>
    <row r="52" spans="1:9" ht="15.75">
      <c r="A52" s="234" t="s">
        <v>15</v>
      </c>
      <c r="C52"/>
      <c r="D52" s="1"/>
      <c r="E52" s="1"/>
      <c r="F52" s="1"/>
      <c r="G52" s="1"/>
      <c r="I52" s="3"/>
    </row>
    <row r="53" spans="1:9" ht="12.75" customHeight="1">
      <c r="A53" s="1"/>
      <c r="B53" s="235" t="s">
        <v>78</v>
      </c>
      <c r="C53" s="236"/>
      <c r="D53" s="237"/>
      <c r="F53" s="31"/>
      <c r="G53" s="31"/>
      <c r="I53" s="3"/>
    </row>
    <row r="54" spans="1:9" ht="12.75" customHeight="1">
      <c r="A54" s="6"/>
      <c r="B54" s="238" t="s">
        <v>106</v>
      </c>
      <c r="C54" s="15"/>
      <c r="D54" s="239"/>
      <c r="F54" s="31"/>
      <c r="G54" s="31"/>
      <c r="I54" s="3"/>
    </row>
    <row r="55" spans="1:12" ht="12.75" customHeight="1">
      <c r="A55" s="6"/>
      <c r="B55" s="240" t="s">
        <v>104</v>
      </c>
      <c r="C55" s="241"/>
      <c r="D55" s="242"/>
      <c r="F55" s="31"/>
      <c r="G55" s="31"/>
      <c r="I55" s="3"/>
      <c r="K55" s="33"/>
      <c r="L55" s="45"/>
    </row>
    <row r="56" spans="1:12" ht="12.75" customHeight="1">
      <c r="A56" s="6"/>
      <c r="C56"/>
      <c r="F56" s="31"/>
      <c r="G56" s="31"/>
      <c r="H56" s="31"/>
      <c r="I56" s="31"/>
      <c r="J56" s="33"/>
      <c r="K56" s="33"/>
      <c r="L56" s="45"/>
    </row>
    <row r="57" spans="1:12" ht="12.75" customHeight="1">
      <c r="A57" s="243" t="s">
        <v>90</v>
      </c>
      <c r="C57"/>
      <c r="F57" s="31"/>
      <c r="G57" s="31"/>
      <c r="H57" s="31"/>
      <c r="I57" s="31"/>
      <c r="J57" s="33"/>
      <c r="K57" s="33"/>
      <c r="L57" s="45"/>
    </row>
    <row r="58" spans="1:12" ht="12.75" customHeight="1">
      <c r="A58" s="244" t="s">
        <v>91</v>
      </c>
      <c r="C58"/>
      <c r="F58" s="31"/>
      <c r="G58" s="31"/>
      <c r="H58" s="31"/>
      <c r="I58" s="31"/>
      <c r="J58" s="33"/>
      <c r="K58" s="33"/>
      <c r="L58" s="45"/>
    </row>
    <row r="59" spans="1:11" ht="12.75" customHeight="1">
      <c r="A59" s="244" t="s">
        <v>89</v>
      </c>
      <c r="C59"/>
      <c r="K59" s="3"/>
    </row>
    <row r="60" spans="1:12" ht="12.75" customHeight="1">
      <c r="A60" s="243" t="s">
        <v>88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sheetProtection sheet="1" objects="1" scenarios="1"/>
  <mergeCells count="1">
    <mergeCell ref="A21:E21"/>
  </mergeCells>
  <conditionalFormatting sqref="F36:F37 F24:F32">
    <cfRule type="cellIs" priority="16" dxfId="0" operator="between" stopIfTrue="1">
      <formula>$C$5+1</formula>
      <formula>401769</formula>
    </cfRule>
  </conditionalFormatting>
  <conditionalFormatting sqref="E20 E36:E37 E24:E32 F24:F30">
    <cfRule type="cellIs" priority="18" dxfId="0" operator="between" stopIfTrue="1">
      <formula>36526</formula>
      <formula>$B$3-1</formula>
    </cfRule>
  </conditionalFormatting>
  <conditionalFormatting sqref="F20">
    <cfRule type="cellIs" priority="6" dxfId="18" operator="notEqual" stopIfTrue="1">
      <formula>""</formula>
    </cfRule>
  </conditionalFormatting>
  <conditionalFormatting sqref="A25:B30">
    <cfRule type="cellIs" priority="1" dxfId="0" operator="between" stopIfTrue="1">
      <formula>36526</formula>
      <formula>$B$3-1</formula>
    </cfRule>
  </conditionalFormatting>
  <printOptions/>
  <pageMargins left="0.25" right="0.25" top="0.75" bottom="0.75" header="0.3" footer="0.3"/>
  <pageSetup horizontalDpi="300" verticalDpi="300" orientation="portrait" paperSize="9" r:id="rId1"/>
  <headerFooter alignWithMargins="0">
    <oddHeader>&amp;C&amp;"-,Normal"&amp;24&amp;UINSCRIPTION SEJOUR FAMILLE - LA BAROTTE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34"/>
  <sheetViews>
    <sheetView showZeros="0" zoomScale="110" zoomScaleNormal="110" zoomScalePageLayoutView="0" workbookViewId="0" topLeftCell="A14">
      <selection activeCell="N15" sqref="N15"/>
    </sheetView>
  </sheetViews>
  <sheetFormatPr defaultColWidth="11.421875" defaultRowHeight="12.75" customHeight="1"/>
  <cols>
    <col min="1" max="1" width="29.8515625" style="1" customWidth="1"/>
    <col min="2" max="2" width="21.57421875" style="2" customWidth="1"/>
    <col min="3" max="3" width="7.8515625" style="2" bestFit="1" customWidth="1"/>
    <col min="4" max="7" width="4.00390625" style="0" customWidth="1"/>
    <col min="8" max="9" width="10.140625" style="0" customWidth="1"/>
    <col min="10" max="11" width="11.7109375" style="0" customWidth="1"/>
    <col min="12" max="12" width="10.140625" style="0" customWidth="1"/>
    <col min="13" max="13" width="10.28125" style="3" customWidth="1"/>
    <col min="14" max="14" width="10.140625" style="0" customWidth="1"/>
  </cols>
  <sheetData>
    <row r="1" spans="1:13" ht="15" customHeight="1">
      <c r="A1" s="4" t="str">
        <f>"Association des Amis du Lauzet (ADAL) - "&amp;Tarifs!C1&amp;" - www.labarotte.com"</f>
        <v>Association des Amis du Lauzet (ADAL) - 2023 - www.labarotte.com</v>
      </c>
      <c r="B1" s="5"/>
      <c r="C1" s="5"/>
      <c r="M1"/>
    </row>
    <row r="2" ht="12.75" customHeight="1">
      <c r="A2" s="6"/>
    </row>
    <row r="3" spans="1:14" ht="18" customHeight="1">
      <c r="A3" s="7" t="s">
        <v>0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10"/>
      <c r="N3" s="11"/>
    </row>
    <row r="4" spans="1:12" ht="12.75" customHeight="1">
      <c r="A4" s="20"/>
      <c r="B4" s="21"/>
      <c r="C4" s="21"/>
      <c r="K4" s="22"/>
      <c r="L4" s="22"/>
    </row>
    <row r="5" spans="1:14" ht="18" customHeight="1">
      <c r="A5" s="62">
        <f>A15</f>
        <v>0</v>
      </c>
      <c r="B5" s="62">
        <f>B15</f>
        <v>0</v>
      </c>
      <c r="C5" s="166"/>
      <c r="D5" s="9"/>
      <c r="E5" s="9"/>
      <c r="F5" s="9"/>
      <c r="G5" s="11"/>
      <c r="K5" s="22"/>
      <c r="L5" s="22"/>
      <c r="M5" s="22"/>
      <c r="N5" s="22"/>
    </row>
    <row r="6" spans="1:14" ht="15.75" customHeight="1">
      <c r="A6" s="250" t="s">
        <v>27</v>
      </c>
      <c r="B6" s="63">
        <f>'Inscription Famille'!B16</f>
        <v>0</v>
      </c>
      <c r="C6" s="167"/>
      <c r="D6" s="64"/>
      <c r="E6" s="64"/>
      <c r="F6" s="64"/>
      <c r="G6" s="64"/>
      <c r="H6" s="65"/>
      <c r="I6" s="65"/>
      <c r="J6" s="66"/>
      <c r="K6" s="22"/>
      <c r="L6" s="22"/>
      <c r="M6" s="22"/>
      <c r="N6" s="22"/>
    </row>
    <row r="7" spans="1:14" ht="15.75" customHeight="1">
      <c r="A7" s="250"/>
      <c r="B7" s="68">
        <f>'Inscription Famille'!B17</f>
        <v>0</v>
      </c>
      <c r="C7" s="1"/>
      <c r="J7" s="69"/>
      <c r="K7" s="22"/>
      <c r="L7" s="22"/>
      <c r="M7" s="22"/>
      <c r="N7" s="22"/>
    </row>
    <row r="8" spans="1:14" ht="12.75" customHeight="1">
      <c r="A8" s="250"/>
      <c r="B8" s="70" t="e">
        <f>'Inscription Famille'!#REF!</f>
        <v>#REF!</v>
      </c>
      <c r="C8" s="168"/>
      <c r="D8" s="65"/>
      <c r="E8" s="65"/>
      <c r="F8" s="65"/>
      <c r="G8" s="65"/>
      <c r="H8" s="65"/>
      <c r="I8" s="65"/>
      <c r="J8" s="66"/>
      <c r="K8" s="22"/>
      <c r="L8" s="22"/>
      <c r="M8" s="22"/>
      <c r="N8" s="22"/>
    </row>
    <row r="9" spans="1:14" ht="14.25" customHeight="1">
      <c r="A9" s="71" t="str">
        <f>'Inscription Famille'!A18</f>
        <v>Commune</v>
      </c>
      <c r="B9" s="70">
        <f>'Inscription Famille'!B18</f>
        <v>0</v>
      </c>
      <c r="C9" s="168"/>
      <c r="D9" s="65"/>
      <c r="E9" s="65"/>
      <c r="F9" s="65"/>
      <c r="G9" s="65"/>
      <c r="H9" s="65"/>
      <c r="I9" s="65"/>
      <c r="J9" s="66"/>
      <c r="K9" s="22"/>
      <c r="L9" s="22"/>
      <c r="M9" s="22"/>
      <c r="N9" s="22"/>
    </row>
    <row r="10" spans="1:14" ht="12.75" customHeight="1">
      <c r="A10" s="71" t="str">
        <f>'Inscription Famille'!E18</f>
        <v>Code postal</v>
      </c>
      <c r="B10" s="68">
        <f>'Inscription Famille'!F18</f>
        <v>0</v>
      </c>
      <c r="C10" s="1"/>
      <c r="J10" s="69"/>
      <c r="K10" s="22"/>
      <c r="L10" s="22"/>
      <c r="M10" s="22"/>
      <c r="N10" s="22"/>
    </row>
    <row r="11" spans="1:14" ht="12.75" customHeight="1">
      <c r="A11" s="71" t="str">
        <f>'Inscription Famille'!A19</f>
        <v>Email</v>
      </c>
      <c r="B11" s="70">
        <f>'Inscription Famille'!B19</f>
        <v>0</v>
      </c>
      <c r="C11" s="168"/>
      <c r="D11" s="65"/>
      <c r="E11" s="65"/>
      <c r="F11" s="65"/>
      <c r="G11" s="65"/>
      <c r="H11" s="65"/>
      <c r="I11" s="65"/>
      <c r="J11" s="66"/>
      <c r="K11" s="22"/>
      <c r="L11" s="22"/>
      <c r="M11" s="22"/>
      <c r="N11" s="22"/>
    </row>
    <row r="12" spans="1:14" ht="12.75" customHeight="1">
      <c r="A12" s="71" t="str">
        <f>'Inscription Famille'!E19</f>
        <v>Téléphone</v>
      </c>
      <c r="B12" s="63">
        <f>'Inscription Famille'!F19</f>
        <v>0</v>
      </c>
      <c r="C12" s="167"/>
      <c r="D12" s="64"/>
      <c r="E12" s="64"/>
      <c r="F12" s="64"/>
      <c r="G12" s="64"/>
      <c r="H12" s="64"/>
      <c r="I12" s="64"/>
      <c r="J12" s="72"/>
      <c r="K12" s="22"/>
      <c r="L12" s="22"/>
      <c r="M12" s="22"/>
      <c r="N12" s="22"/>
    </row>
    <row r="13" spans="1:13" ht="12.75" customHeight="1">
      <c r="A13"/>
      <c r="B13"/>
      <c r="C13"/>
      <c r="J13" s="76">
        <f>Tarifs!H5</f>
        <v>45130</v>
      </c>
      <c r="K13" s="60">
        <f>Tarifs!I7</f>
        <v>45151</v>
      </c>
      <c r="M13" s="54"/>
    </row>
    <row r="14" spans="1:14" s="75" customFormat="1" ht="92.25">
      <c r="A14" s="23" t="s">
        <v>2</v>
      </c>
      <c r="B14" s="23" t="s">
        <v>3</v>
      </c>
      <c r="C14" s="24" t="s">
        <v>67</v>
      </c>
      <c r="D14" s="174" t="s">
        <v>19</v>
      </c>
      <c r="E14" s="174" t="s">
        <v>69</v>
      </c>
      <c r="F14" s="174" t="s">
        <v>68</v>
      </c>
      <c r="G14" s="73" t="s">
        <v>70</v>
      </c>
      <c r="H14" s="74" t="e">
        <f>"Tarif
unitaire
tranche "&amp;Tarifs!E12</f>
        <v>#DIV/0!</v>
      </c>
      <c r="I14" s="25" t="s">
        <v>7</v>
      </c>
      <c r="J14" s="24" t="s">
        <v>5</v>
      </c>
      <c r="K14" s="24" t="s">
        <v>6</v>
      </c>
      <c r="M14" s="26" t="s">
        <v>31</v>
      </c>
      <c r="N14" s="25" t="s">
        <v>9</v>
      </c>
    </row>
    <row r="15" spans="1:14" ht="14.25" customHeight="1">
      <c r="A15" s="58">
        <f>'Inscription Famille'!A24</f>
        <v>0</v>
      </c>
      <c r="B15" s="58">
        <f>'Inscription Famille'!B24</f>
        <v>0</v>
      </c>
      <c r="C15" s="172">
        <f>'Inscription Famille'!C24</f>
        <v>0</v>
      </c>
      <c r="D15" s="59">
        <f>IF('Inscription Famille'!K24=TRUE,1,0)</f>
        <v>0</v>
      </c>
      <c r="E15" s="59">
        <f>IF('Inscription Famille'!L24=TRUE,1,0)</f>
        <v>0</v>
      </c>
      <c r="F15" s="59">
        <f>IF('Inscription Famille'!M24=TRUE,1,0)</f>
        <v>0</v>
      </c>
      <c r="G15" s="59">
        <f>IF('Inscription Famille'!N24=TRUE,1,0)</f>
        <v>0</v>
      </c>
      <c r="H15" s="27">
        <f>IF(AND(OR(T(A15)&lt;&gt;"",T(B15)&lt;&gt;"")),'Inscription Famille'!H24,"")</f>
      </c>
      <c r="I15" s="28">
        <f>Période!K10</f>
        <v>20</v>
      </c>
      <c r="J15" s="76">
        <v>43303</v>
      </c>
      <c r="K15" s="60">
        <f>Période!J10</f>
        <v>0</v>
      </c>
      <c r="M15" s="61">
        <f>Période!L10</f>
        <v>0</v>
      </c>
      <c r="N15" s="30">
        <f aca="true" t="shared" si="0" ref="N15:N21">IF(OR(T(A15)&lt;&gt;"",T(B15)&lt;&gt;""),H15*I15+M15,0)</f>
        <v>0</v>
      </c>
    </row>
    <row r="16" spans="1:14" ht="14.25" customHeight="1">
      <c r="A16" s="58">
        <f>'Inscription Famille'!A25</f>
      </c>
      <c r="B16" s="58">
        <f>'Inscription Famille'!B25</f>
        <v>0</v>
      </c>
      <c r="C16" s="172">
        <f>'Inscription Famille'!C25</f>
        <v>0</v>
      </c>
      <c r="D16" s="59">
        <f>IF('Inscription Famille'!K25=TRUE,1,0)</f>
        <v>0</v>
      </c>
      <c r="E16" s="59">
        <f>IF('Inscription Famille'!L25=TRUE,1,0)</f>
        <v>0</v>
      </c>
      <c r="F16" s="59">
        <f>IF('Inscription Famille'!M25=TRUE,1,0)</f>
        <v>0</v>
      </c>
      <c r="G16" s="59">
        <f>IF('Inscription Famille'!N25=TRUE,1,0)</f>
        <v>0</v>
      </c>
      <c r="H16" s="27">
        <f>IF(AND(OR(T(A16)&lt;&gt;"",T(B16)&lt;&gt;"")),'Inscription Famille'!H25,"")</f>
      </c>
      <c r="I16" s="28">
        <v>10</v>
      </c>
      <c r="J16" s="76">
        <v>43303</v>
      </c>
      <c r="K16" s="60">
        <f>MAX(Période!J11)</f>
        <v>0</v>
      </c>
      <c r="M16" s="61">
        <f>Période!L11</f>
        <v>0</v>
      </c>
      <c r="N16" s="30">
        <f t="shared" si="0"/>
        <v>0</v>
      </c>
    </row>
    <row r="17" spans="1:16" ht="14.25" customHeight="1">
      <c r="A17" s="58">
        <f>'Inscription Famille'!A26</f>
      </c>
      <c r="B17" s="58">
        <f>'Inscription Famille'!B26</f>
        <v>0</v>
      </c>
      <c r="C17" s="172">
        <f>'Inscription Famille'!C26</f>
        <v>0</v>
      </c>
      <c r="D17" s="59">
        <f>IF('Inscription Famille'!K26=TRUE,1,0)</f>
        <v>0</v>
      </c>
      <c r="E17" s="59">
        <f>IF('Inscription Famille'!L26=TRUE,1,0)</f>
        <v>0</v>
      </c>
      <c r="F17" s="59">
        <f>IF('Inscription Famille'!M26=TRUE,1,0)</f>
        <v>0</v>
      </c>
      <c r="G17" s="59">
        <f>IF('Inscription Famille'!N26=TRUE,1,0)</f>
        <v>0</v>
      </c>
      <c r="H17" s="27">
        <f>IF(AND(OR(T(A17)&lt;&gt;"",T(B17)&lt;&gt;"")),'Inscription Famille'!H26,"")</f>
      </c>
      <c r="I17" s="28">
        <f>Période!K12</f>
        <v>7</v>
      </c>
      <c r="J17" s="76">
        <f>MIN(Période!I12)</f>
        <v>0</v>
      </c>
      <c r="K17" s="60">
        <f>MAX(Période!J12)</f>
        <v>0</v>
      </c>
      <c r="M17" s="61">
        <f>Période!L12</f>
        <v>0</v>
      </c>
      <c r="N17" s="30">
        <f t="shared" si="0"/>
        <v>0</v>
      </c>
      <c r="P17" s="32"/>
    </row>
    <row r="18" spans="1:14" ht="14.25" customHeight="1">
      <c r="A18" s="58">
        <f>'Inscription Famille'!A27</f>
      </c>
      <c r="B18" s="58">
        <f>'Inscription Famille'!B27</f>
        <v>0</v>
      </c>
      <c r="C18" s="172">
        <f>'Inscription Famille'!C27</f>
        <v>0</v>
      </c>
      <c r="D18" s="59">
        <f>IF('Inscription Famille'!K27=TRUE,1,0)</f>
        <v>0</v>
      </c>
      <c r="E18" s="59">
        <f>IF('Inscription Famille'!L27=TRUE,1,0)</f>
        <v>0</v>
      </c>
      <c r="F18" s="59">
        <f>IF('Inscription Famille'!M27=TRUE,1,0)</f>
        <v>0</v>
      </c>
      <c r="G18" s="59">
        <f>IF('Inscription Famille'!N27=TRUE,1,0)</f>
        <v>0</v>
      </c>
      <c r="H18" s="27">
        <f>IF(AND(OR(T(A18)&lt;&gt;"",T(B18)&lt;&gt;"")),'Inscription Famille'!H27,"")</f>
      </c>
      <c r="I18" s="28">
        <f>Période!K13</f>
        <v>0</v>
      </c>
      <c r="J18" s="76">
        <f>MIN(Période!I13)</f>
        <v>0</v>
      </c>
      <c r="K18" s="60">
        <f>MAX(Période!J13)</f>
        <v>0</v>
      </c>
      <c r="M18" s="61">
        <f>Période!L13</f>
        <v>0</v>
      </c>
      <c r="N18" s="30">
        <f t="shared" si="0"/>
        <v>0</v>
      </c>
    </row>
    <row r="19" spans="1:14" ht="14.25" customHeight="1">
      <c r="A19" s="58">
        <f>'Inscription Famille'!A28</f>
      </c>
      <c r="B19" s="58">
        <f>'Inscription Famille'!B28</f>
        <v>0</v>
      </c>
      <c r="C19" s="172">
        <f>'Inscription Famille'!C28</f>
        <v>0</v>
      </c>
      <c r="D19" s="59">
        <f>IF('Inscription Famille'!K28=TRUE,1,0)</f>
        <v>0</v>
      </c>
      <c r="E19" s="59">
        <f>IF('Inscription Famille'!L28=TRUE,1,0)</f>
        <v>0</v>
      </c>
      <c r="F19" s="59">
        <f>IF('Inscription Famille'!M28=TRUE,1,0)</f>
        <v>0</v>
      </c>
      <c r="G19" s="59">
        <f>IF('Inscription Famille'!N28=TRUE,1,0)</f>
        <v>0</v>
      </c>
      <c r="H19" s="27">
        <f>IF(AND(OR(T(A19)&lt;&gt;"",T(B19)&lt;&gt;"")),'Inscription Famille'!H28,"")</f>
      </c>
      <c r="I19" s="28">
        <f>Période!K14</f>
        <v>0</v>
      </c>
      <c r="J19" s="76">
        <f>MIN(Période!I14)</f>
        <v>0</v>
      </c>
      <c r="K19" s="60">
        <f>MAX(Période!J14)</f>
        <v>0</v>
      </c>
      <c r="M19" s="61">
        <f>Période!L14</f>
        <v>0</v>
      </c>
      <c r="N19" s="30">
        <f t="shared" si="0"/>
        <v>0</v>
      </c>
    </row>
    <row r="20" spans="1:14" ht="14.25" customHeight="1">
      <c r="A20" s="58">
        <f>'Inscription Famille'!A29</f>
      </c>
      <c r="B20" s="58">
        <f>'Inscription Famille'!B29</f>
        <v>0</v>
      </c>
      <c r="C20" s="172">
        <f>'Inscription Famille'!C29</f>
        <v>0</v>
      </c>
      <c r="D20" s="59">
        <f>IF('Inscription Famille'!K29=TRUE,1,0)</f>
        <v>0</v>
      </c>
      <c r="E20" s="59">
        <f>IF('Inscription Famille'!L29=TRUE,1,0)</f>
        <v>0</v>
      </c>
      <c r="F20" s="59">
        <f>IF('Inscription Famille'!M29=TRUE,1,0)</f>
        <v>0</v>
      </c>
      <c r="G20" s="59">
        <f>IF('Inscription Famille'!N29=TRUE,1,0)</f>
        <v>0</v>
      </c>
      <c r="H20" s="27">
        <f>IF(AND(OR(T(A20)&lt;&gt;"",T(B20)&lt;&gt;"")),'Inscription Famille'!H29,"")</f>
      </c>
      <c r="I20" s="28">
        <f>Période!K15</f>
        <v>0</v>
      </c>
      <c r="J20" s="76">
        <f>MIN(Période!I15)</f>
        <v>0</v>
      </c>
      <c r="K20" s="60">
        <f>MAX(Période!J15)</f>
        <v>0</v>
      </c>
      <c r="M20" s="61">
        <f>Période!L15</f>
        <v>0</v>
      </c>
      <c r="N20" s="30">
        <f t="shared" si="0"/>
        <v>0</v>
      </c>
    </row>
    <row r="21" spans="1:14" ht="14.25" customHeight="1">
      <c r="A21" s="58">
        <f>'Inscription Famille'!A30</f>
      </c>
      <c r="B21" s="58">
        <f>'Inscription Famille'!B30</f>
        <v>0</v>
      </c>
      <c r="C21" s="172">
        <f>'Inscription Famille'!C30</f>
        <v>0</v>
      </c>
      <c r="D21" s="59">
        <f>IF('Inscription Famille'!K30=TRUE,1,0)</f>
        <v>0</v>
      </c>
      <c r="E21" s="59">
        <f>IF('Inscription Famille'!L30=TRUE,1,0)</f>
        <v>0</v>
      </c>
      <c r="F21" s="59">
        <f>IF('Inscription Famille'!M30=TRUE,1,0)</f>
        <v>0</v>
      </c>
      <c r="G21" s="59">
        <f>IF('Inscription Famille'!N30=TRUE,1,0)</f>
        <v>0</v>
      </c>
      <c r="H21" s="27">
        <f>IF(AND(OR(T(A21)&lt;&gt;"",T(B21)&lt;&gt;"")),'Inscription Famille'!H30,"")</f>
      </c>
      <c r="I21" s="28">
        <f>Période!K16</f>
        <v>0</v>
      </c>
      <c r="J21" s="76">
        <f>MIN(Période!I16)</f>
        <v>0</v>
      </c>
      <c r="K21" s="60">
        <f>MAX(Période!J16)</f>
        <v>0</v>
      </c>
      <c r="M21" s="61">
        <f>Période!L16</f>
        <v>0</v>
      </c>
      <c r="N21" s="30">
        <f t="shared" si="0"/>
        <v>0</v>
      </c>
    </row>
    <row r="22" spans="1:14" ht="12.75" customHeight="1">
      <c r="A22" s="251" t="s">
        <v>20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</row>
    <row r="23" spans="1:14" ht="12.75" customHeight="1">
      <c r="A23" s="71" t="s">
        <v>21</v>
      </c>
      <c r="B23" s="28">
        <f>'Inscription Famille'!B31</f>
        <v>0</v>
      </c>
      <c r="C23" s="28"/>
      <c r="D23" s="77">
        <f>SUM(D15:D21)</f>
        <v>0</v>
      </c>
      <c r="E23" s="77">
        <f>SUM(E15:E21)</f>
        <v>0</v>
      </c>
      <c r="F23" s="77">
        <f>SUM(F15:F21)</f>
        <v>0</v>
      </c>
      <c r="G23" s="77">
        <f>SUM(G15:G21)</f>
        <v>0</v>
      </c>
      <c r="H23" s="28"/>
      <c r="I23" s="28"/>
      <c r="J23" s="78"/>
      <c r="K23" s="78"/>
      <c r="L23" s="28">
        <f>SUM(I15:I21)</f>
        <v>37</v>
      </c>
      <c r="M23" s="29">
        <f>SUM(M15:M21)</f>
        <v>0</v>
      </c>
      <c r="N23" s="61">
        <f>SUM(N15:N21)</f>
        <v>0</v>
      </c>
    </row>
    <row r="24" spans="1:13" ht="12.75" customHeight="1">
      <c r="A24" s="34"/>
      <c r="B24"/>
      <c r="C24"/>
      <c r="J24" s="32"/>
      <c r="K24" s="32"/>
      <c r="M24" s="79" t="str">
        <f>"("&amp;M23/Tarifs!E26&amp;" nuits adultes)"</f>
        <v>(0 nuits adultes)</v>
      </c>
    </row>
    <row r="25" ht="15.75" customHeight="1">
      <c r="A25" s="67" t="s">
        <v>32</v>
      </c>
    </row>
    <row r="26" spans="1:14" ht="15.75" customHeight="1">
      <c r="A26" s="80" t="s">
        <v>33</v>
      </c>
      <c r="B26" t="s">
        <v>11</v>
      </c>
      <c r="C26"/>
      <c r="D26" s="1"/>
      <c r="E26" s="1"/>
      <c r="F26" s="1"/>
      <c r="G26" s="1"/>
      <c r="H26" s="36">
        <f>N26</f>
        <v>0</v>
      </c>
      <c r="I26" s="36"/>
      <c r="J26" s="1"/>
      <c r="K26" s="1"/>
      <c r="L26" s="81" t="s">
        <v>12</v>
      </c>
      <c r="M26" s="37"/>
      <c r="N26" s="38">
        <f>N23*0.2</f>
        <v>0</v>
      </c>
    </row>
    <row r="27" spans="1:14" ht="15.75" customHeight="1">
      <c r="A27" s="6"/>
      <c r="B27" t="s">
        <v>66</v>
      </c>
      <c r="C27"/>
      <c r="D27" s="1"/>
      <c r="E27" s="1"/>
      <c r="F27" s="1"/>
      <c r="G27" s="1"/>
      <c r="H27" s="36">
        <f>N27</f>
        <v>0</v>
      </c>
      <c r="I27" s="36"/>
      <c r="J27" s="1"/>
      <c r="K27" s="1"/>
      <c r="L27" s="82" t="s">
        <v>14</v>
      </c>
      <c r="M27" s="40"/>
      <c r="N27" s="41">
        <f>IF(B23&gt;=1,IF(B23=1,Tarifs!E28,Tarifs!E27),0)</f>
        <v>0</v>
      </c>
    </row>
    <row r="28" spans="1:12" ht="12.75" customHeight="1">
      <c r="A28" s="35" t="s">
        <v>15</v>
      </c>
      <c r="B28"/>
      <c r="C28"/>
      <c r="D28" s="1"/>
      <c r="E28" s="1"/>
      <c r="F28" s="1"/>
      <c r="G28" s="1"/>
      <c r="H28" s="1"/>
      <c r="I28" s="1"/>
      <c r="J28" s="1"/>
      <c r="K28" s="1"/>
      <c r="L28" s="75"/>
    </row>
    <row r="29" spans="2:14" ht="15" customHeight="1">
      <c r="B29" s="83" t="str">
        <f>Tarifs!C33</f>
        <v>Zoé de Chanlaire et Thibault Di Tucci</v>
      </c>
      <c r="C29" s="169"/>
      <c r="F29" s="31"/>
      <c r="G29" s="31"/>
      <c r="H29" s="31"/>
      <c r="I29" s="31"/>
      <c r="J29" s="31"/>
      <c r="K29" s="31"/>
      <c r="L29" s="84" t="s">
        <v>16</v>
      </c>
      <c r="M29" s="43"/>
      <c r="N29" s="44">
        <f>N23-N26</f>
        <v>0</v>
      </c>
    </row>
    <row r="30" spans="1:14" ht="14.25" customHeight="1">
      <c r="A30" s="6"/>
      <c r="B30" s="85" t="str">
        <f>Tarifs!C34</f>
        <v>53 rue Marx Dormoy</v>
      </c>
      <c r="C30" s="15"/>
      <c r="F30" s="31"/>
      <c r="G30" s="31"/>
      <c r="H30" s="31"/>
      <c r="I30" s="31"/>
      <c r="J30" s="31"/>
      <c r="K30" s="31"/>
      <c r="L30" s="86" t="s">
        <v>34</v>
      </c>
      <c r="M30" s="33"/>
      <c r="N30" s="45"/>
    </row>
    <row r="31" spans="1:14" ht="14.25" customHeight="1">
      <c r="A31" s="6"/>
      <c r="B31" s="87" t="str">
        <f>Tarifs!C35</f>
        <v>38000 - Grenoble</v>
      </c>
      <c r="C31" s="15"/>
      <c r="F31" s="31"/>
      <c r="G31" s="31"/>
      <c r="H31" s="31"/>
      <c r="I31" s="31"/>
      <c r="J31" s="31"/>
      <c r="K31" s="31"/>
      <c r="L31" s="33"/>
      <c r="M31" s="33"/>
      <c r="N31" s="45"/>
    </row>
    <row r="32" spans="1:14" ht="12.75" customHeight="1">
      <c r="A32" s="6"/>
      <c r="B32"/>
      <c r="C32"/>
      <c r="F32" s="31"/>
      <c r="G32" s="31"/>
      <c r="H32" s="31"/>
      <c r="I32" s="31"/>
      <c r="J32" s="31"/>
      <c r="K32" s="31"/>
      <c r="L32" s="33"/>
      <c r="M32" s="33"/>
      <c r="N32" s="45"/>
    </row>
    <row r="33" spans="1:3" ht="12.75" customHeight="1">
      <c r="A33" s="88" t="s">
        <v>17</v>
      </c>
      <c r="B33"/>
      <c r="C33"/>
    </row>
    <row r="34" spans="1:14" ht="12.75" customHeight="1">
      <c r="A34" s="89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sheetProtection selectLockedCells="1" selectUnlockedCells="1"/>
  <mergeCells count="2">
    <mergeCell ref="A6:A8"/>
    <mergeCell ref="A22:N22"/>
  </mergeCells>
  <conditionalFormatting sqref="J15:J21">
    <cfRule type="cellIs" priority="3" dxfId="4" operator="between" stopIfTrue="1">
      <formula>42005</formula>
      <formula>$J$13-1</formula>
    </cfRule>
  </conditionalFormatting>
  <conditionalFormatting sqref="K15:K21">
    <cfRule type="cellIs" priority="4" dxfId="4" operator="between" stopIfTrue="1">
      <formula>$K$13+1</formula>
      <formula>401769</formula>
    </cfRule>
  </conditionalFormatting>
  <printOptions/>
  <pageMargins left="0.6298611111111111" right="0.25" top="0.3298611111111111" bottom="0.629861111111111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Zeros="0" zoomScale="110" zoomScaleNormal="110" zoomScalePageLayoutView="0" workbookViewId="0" topLeftCell="A13">
      <selection activeCell="H20" sqref="H20"/>
    </sheetView>
  </sheetViews>
  <sheetFormatPr defaultColWidth="11.421875" defaultRowHeight="12.75" customHeight="1"/>
  <cols>
    <col min="1" max="1" width="10.28125" style="0" customWidth="1"/>
    <col min="2" max="2" width="5.28125" style="90" customWidth="1"/>
    <col min="3" max="3" width="9.8515625" style="0" customWidth="1"/>
    <col min="4" max="4" width="12.28125" style="0" bestFit="1" customWidth="1"/>
    <col min="5" max="7" width="8.8515625" style="0" customWidth="1"/>
    <col min="8" max="9" width="9.421875" style="0" customWidth="1"/>
    <col min="10" max="10" width="10.140625" style="0" customWidth="1"/>
    <col min="12" max="12" width="13.421875" style="0" bestFit="1" customWidth="1"/>
  </cols>
  <sheetData>
    <row r="1" spans="1:6" s="48" customFormat="1" ht="18" customHeight="1">
      <c r="A1" s="91" t="s">
        <v>35</v>
      </c>
      <c r="B1" s="92"/>
      <c r="C1" s="93">
        <v>2023</v>
      </c>
      <c r="D1" s="94"/>
      <c r="E1" s="161" t="s">
        <v>92</v>
      </c>
      <c r="F1" s="161"/>
    </row>
    <row r="3" spans="1:5" s="48" customFormat="1" ht="18" customHeight="1">
      <c r="A3" s="91" t="s">
        <v>36</v>
      </c>
      <c r="B3" s="92"/>
      <c r="C3" s="96"/>
      <c r="D3" s="94"/>
      <c r="E3" s="95"/>
    </row>
    <row r="5" spans="1:9" s="48" customFormat="1" ht="18" customHeight="1">
      <c r="A5" s="97" t="s">
        <v>28</v>
      </c>
      <c r="B5" s="98"/>
      <c r="C5" s="99"/>
      <c r="D5" s="99"/>
      <c r="E5" s="100"/>
      <c r="F5" s="101"/>
      <c r="G5" s="102"/>
      <c r="H5" s="103">
        <v>45130</v>
      </c>
      <c r="I5" s="165">
        <f>H5+7</f>
        <v>45137</v>
      </c>
    </row>
    <row r="6" spans="1:9" s="48" customFormat="1" ht="18" customHeight="1">
      <c r="A6" s="104" t="s">
        <v>29</v>
      </c>
      <c r="B6" s="105"/>
      <c r="C6" s="94"/>
      <c r="D6" s="94"/>
      <c r="E6" s="95"/>
      <c r="G6" s="106"/>
      <c r="H6" s="107">
        <f>I5</f>
        <v>45137</v>
      </c>
      <c r="I6" s="107">
        <f>I5+7</f>
        <v>45144</v>
      </c>
    </row>
    <row r="7" spans="1:9" s="48" customFormat="1" ht="18" customHeight="1">
      <c r="A7" s="108" t="s">
        <v>30</v>
      </c>
      <c r="B7" s="109"/>
      <c r="C7" s="110"/>
      <c r="D7" s="110"/>
      <c r="E7" s="111"/>
      <c r="F7" s="112"/>
      <c r="G7" s="113"/>
      <c r="H7" s="114">
        <f>I6</f>
        <v>45144</v>
      </c>
      <c r="I7" s="114">
        <f>I6+7</f>
        <v>45151</v>
      </c>
    </row>
    <row r="9" spans="1:11" s="48" customFormat="1" ht="18.75" customHeight="1">
      <c r="A9" s="91" t="s">
        <v>37</v>
      </c>
      <c r="B9" s="92"/>
      <c r="C9" s="115"/>
      <c r="D9" s="115"/>
      <c r="E9" s="116"/>
      <c r="F9" s="117"/>
      <c r="G9" s="117"/>
      <c r="H9" s="117"/>
      <c r="I9" s="117"/>
      <c r="J9" s="117"/>
      <c r="K9" s="118"/>
    </row>
    <row r="11" spans="1:10" ht="88.5">
      <c r="A11" s="119" t="s">
        <v>38</v>
      </c>
      <c r="B11" s="120" t="s">
        <v>39</v>
      </c>
      <c r="C11" s="120" t="s">
        <v>79</v>
      </c>
      <c r="D11" s="28" t="s">
        <v>40</v>
      </c>
      <c r="E11" s="119" t="s">
        <v>41</v>
      </c>
      <c r="F11" s="49" t="s">
        <v>19</v>
      </c>
      <c r="G11" s="49" t="s">
        <v>69</v>
      </c>
      <c r="H11" s="49" t="s">
        <v>68</v>
      </c>
      <c r="I11" s="175" t="s">
        <v>70</v>
      </c>
      <c r="J11" s="121" t="s">
        <v>43</v>
      </c>
    </row>
    <row r="12" spans="1:10" s="17" customFormat="1" ht="15" customHeight="1">
      <c r="A12" s="122">
        <f>'Inscription Famille'!B9</f>
        <v>0</v>
      </c>
      <c r="B12" s="123">
        <f>'Inscription Famille'!B31</f>
        <v>0</v>
      </c>
      <c r="C12" s="184">
        <f>IF(AND(J12="oui",B12=1),1.5,B12)</f>
        <v>0</v>
      </c>
      <c r="D12" s="124" t="e">
        <f>A12/C12</f>
        <v>#DIV/0!</v>
      </c>
      <c r="E12" s="125" t="e">
        <f>IF(D12=0,0,IF(D12&lt;E18,G18,IF(D12&lt;E19,G19,IF(D12&lt;E20,G20,IF(D12&lt;E21,G21,IF(D12&gt;E22,G22,9))))))</f>
        <v>#DIV/0!</v>
      </c>
      <c r="F12" s="126" t="e">
        <f>IF(E12=1,H18,IF(E12=2,H19,IF(E12=3,H20,IF(E12=4,H21,IF(E12=5,H22)))))</f>
        <v>#DIV/0!</v>
      </c>
      <c r="G12" s="126" t="e">
        <f>IF(E12=1,I18,IF(E12=2,I19,IF(E12=3,I20,IF(E12=4,I21,IF(E12=5,I22)))))</f>
        <v>#DIV/0!</v>
      </c>
      <c r="H12" s="126" t="e">
        <f>IF(E12=1,J18,IF(E12=2,J19,IF(E12=3,J20,IF(E12=4,J21,IF(E12=5,J22)))))</f>
        <v>#DIV/0!</v>
      </c>
      <c r="I12" s="127">
        <v>0</v>
      </c>
      <c r="J12" s="128">
        <f>'Inscription Famille'!F20</f>
        <v>0</v>
      </c>
    </row>
    <row r="13" ht="12.75" customHeight="1">
      <c r="A13" s="129"/>
    </row>
    <row r="14" spans="1:11" ht="18" customHeight="1">
      <c r="A14" s="91" t="s">
        <v>44</v>
      </c>
      <c r="B14" s="130"/>
      <c r="C14" s="9"/>
      <c r="D14" s="9"/>
      <c r="E14" s="9"/>
      <c r="F14" s="9"/>
      <c r="G14" s="9"/>
      <c r="H14" s="9"/>
      <c r="I14" s="9"/>
      <c r="J14" s="9"/>
      <c r="K14" s="11"/>
    </row>
    <row r="15" ht="12.75" customHeight="1">
      <c r="A15" s="129"/>
    </row>
    <row r="16" spans="1:10" ht="12.75" customHeight="1">
      <c r="A16" s="129"/>
      <c r="H16" s="22">
        <v>18</v>
      </c>
      <c r="I16" s="22">
        <v>12</v>
      </c>
      <c r="J16" s="22">
        <v>4</v>
      </c>
    </row>
    <row r="17" spans="5:11" ht="62.25" customHeight="1">
      <c r="E17" s="90"/>
      <c r="F17" s="131" t="s">
        <v>45</v>
      </c>
      <c r="G17" s="121" t="s">
        <v>41</v>
      </c>
      <c r="H17" s="121" t="s">
        <v>42</v>
      </c>
      <c r="I17" s="121" t="s">
        <v>71</v>
      </c>
      <c r="J17" s="121" t="s">
        <v>72</v>
      </c>
      <c r="K17" s="121" t="s">
        <v>73</v>
      </c>
    </row>
    <row r="18" spans="3:12" ht="13.5" customHeight="1">
      <c r="C18" s="253" t="e">
        <f>IF(G18=$E$12,"votre tranche &gt;","")</f>
        <v>#DIV/0!</v>
      </c>
      <c r="D18" s="254"/>
      <c r="E18" s="132">
        <v>500</v>
      </c>
      <c r="F18" s="51" t="str">
        <f>"&lt; "&amp;E18&amp;" €"</f>
        <v>&lt; 500 €</v>
      </c>
      <c r="G18" s="133">
        <v>1</v>
      </c>
      <c r="H18" s="134">
        <v>18</v>
      </c>
      <c r="I18" s="134">
        <v>14.4</v>
      </c>
      <c r="J18" s="135">
        <v>10.8</v>
      </c>
      <c r="K18" s="252" t="s">
        <v>46</v>
      </c>
      <c r="L18" s="178" t="e">
        <f>IF(G18=$E$12,"&lt; votre tranche","")</f>
        <v>#DIV/0!</v>
      </c>
    </row>
    <row r="19" spans="3:12" ht="12.75" customHeight="1">
      <c r="C19" s="253" t="e">
        <f>IF(G19=$E$12,"votre tranche &gt;","")</f>
        <v>#DIV/0!</v>
      </c>
      <c r="D19" s="254"/>
      <c r="E19" s="132">
        <v>899</v>
      </c>
      <c r="F19" s="51" t="str">
        <f>"&lt; "&amp;E19&amp;" €"</f>
        <v>&lt; 899 €</v>
      </c>
      <c r="G19" s="133">
        <v>2</v>
      </c>
      <c r="H19" s="134">
        <v>22.32</v>
      </c>
      <c r="I19" s="134">
        <v>17.86</v>
      </c>
      <c r="J19" s="135">
        <v>13.39</v>
      </c>
      <c r="K19" s="252"/>
      <c r="L19" s="178" t="e">
        <f>IF(G19=$E$12,"&lt; votre tranche","")</f>
        <v>#DIV/0!</v>
      </c>
    </row>
    <row r="20" spans="3:12" ht="12.75" customHeight="1">
      <c r="C20" s="253" t="e">
        <f>IF(G20=$E$12,"votre tranche &gt;","")</f>
        <v>#DIV/0!</v>
      </c>
      <c r="D20" s="254"/>
      <c r="E20" s="132">
        <v>1299</v>
      </c>
      <c r="F20" s="51" t="str">
        <f>"&lt; "&amp;E20&amp;" €"</f>
        <v>&lt; 1299 €</v>
      </c>
      <c r="G20" s="133">
        <v>3</v>
      </c>
      <c r="H20" s="134">
        <v>27.68</v>
      </c>
      <c r="I20" s="134">
        <v>22.14</v>
      </c>
      <c r="J20" s="135">
        <v>16.61</v>
      </c>
      <c r="K20" s="252"/>
      <c r="L20" s="178" t="e">
        <f>IF(G20=$E$12,"&lt; votre tranche","")</f>
        <v>#DIV/0!</v>
      </c>
    </row>
    <row r="21" spans="3:12" ht="12.75" customHeight="1">
      <c r="C21" s="253" t="e">
        <f>IF(G21=$E$12,"votre tranche &gt;","")</f>
        <v>#DIV/0!</v>
      </c>
      <c r="D21" s="254"/>
      <c r="E21" s="132">
        <v>1799</v>
      </c>
      <c r="F21" s="51" t="str">
        <f>"&lt; "&amp;E21&amp;" €"</f>
        <v>&lt; 1799 €</v>
      </c>
      <c r="G21" s="133">
        <v>4</v>
      </c>
      <c r="H21" s="134">
        <v>34.32</v>
      </c>
      <c r="I21" s="134">
        <v>27.46</v>
      </c>
      <c r="J21" s="135">
        <v>20.59</v>
      </c>
      <c r="K21" s="252"/>
      <c r="L21" s="178" t="e">
        <f>IF(G21=$E$12,"&lt; votre tranche","")</f>
        <v>#DIV/0!</v>
      </c>
    </row>
    <row r="22" spans="3:12" ht="12.75" customHeight="1">
      <c r="C22" s="253" t="e">
        <f>IF(G22=$E$12,"votre tranche &gt;","")</f>
        <v>#DIV/0!</v>
      </c>
      <c r="D22" s="254"/>
      <c r="E22" s="132"/>
      <c r="F22" s="51" t="str">
        <f>"&gt; "&amp;E21&amp;" €"</f>
        <v>&gt; 1799 €</v>
      </c>
      <c r="G22" s="133">
        <v>5</v>
      </c>
      <c r="H22" s="134">
        <v>42.56</v>
      </c>
      <c r="I22" s="134">
        <v>34.04</v>
      </c>
      <c r="J22" s="135">
        <v>25.53</v>
      </c>
      <c r="K22" s="252"/>
      <c r="L22" s="178" t="e">
        <f>IF(G22=$E$12,"&lt; votre tranche","")</f>
        <v>#DIV/0!</v>
      </c>
    </row>
    <row r="23" spans="2:8" ht="12.75" customHeight="1">
      <c r="B23" s="136"/>
      <c r="C23" s="137"/>
      <c r="D23" s="138"/>
      <c r="E23" s="139"/>
      <c r="F23" s="139"/>
      <c r="G23" s="139"/>
      <c r="H23" s="140"/>
    </row>
    <row r="24" spans="1:8" ht="18" customHeight="1">
      <c r="A24" s="91" t="s">
        <v>47</v>
      </c>
      <c r="B24" s="92"/>
      <c r="C24" s="96"/>
      <c r="D24" s="138"/>
      <c r="E24" s="139"/>
      <c r="F24" s="139"/>
      <c r="G24" s="139"/>
      <c r="H24" s="140"/>
    </row>
    <row r="25" spans="1:8" ht="12.75" customHeight="1">
      <c r="A25" s="141"/>
      <c r="B25" s="142"/>
      <c r="C25" s="137"/>
      <c r="D25" s="140"/>
      <c r="E25" s="140"/>
      <c r="F25" s="140"/>
      <c r="G25" s="140"/>
      <c r="H25" s="140"/>
    </row>
    <row r="26" spans="1:5" ht="12.75" customHeight="1">
      <c r="A26" s="143" t="s">
        <v>48</v>
      </c>
      <c r="B26" s="144"/>
      <c r="C26" s="145"/>
      <c r="E26" s="146">
        <v>0.75</v>
      </c>
    </row>
    <row r="27" spans="1:5" ht="12.75" customHeight="1">
      <c r="A27" s="147" t="s">
        <v>49</v>
      </c>
      <c r="B27" s="148"/>
      <c r="C27" s="66"/>
      <c r="E27" s="146">
        <v>20</v>
      </c>
    </row>
    <row r="28" spans="1:5" ht="12.75" customHeight="1">
      <c r="A28" s="147" t="s">
        <v>50</v>
      </c>
      <c r="B28" s="148"/>
      <c r="C28" s="66"/>
      <c r="E28" s="146">
        <v>16</v>
      </c>
    </row>
    <row r="29" spans="1:5" ht="12.75" customHeight="1">
      <c r="A29" s="149" t="s">
        <v>51</v>
      </c>
      <c r="B29" s="150"/>
      <c r="C29" s="185" t="s">
        <v>84</v>
      </c>
      <c r="D29" s="22">
        <v>25</v>
      </c>
      <c r="E29" s="146">
        <v>19</v>
      </c>
    </row>
    <row r="31" spans="1:3" ht="18" customHeight="1">
      <c r="A31" s="91" t="s">
        <v>52</v>
      </c>
      <c r="B31" s="92"/>
      <c r="C31" s="96"/>
    </row>
    <row r="33" spans="3:5" ht="14.25" customHeight="1">
      <c r="C33" s="151" t="s">
        <v>78</v>
      </c>
      <c r="D33" s="152"/>
      <c r="E33" s="145"/>
    </row>
    <row r="34" spans="3:5" ht="12.75" customHeight="1">
      <c r="C34" s="182" t="s">
        <v>106</v>
      </c>
      <c r="E34" s="69"/>
    </row>
    <row r="35" spans="3:5" ht="12.75" customHeight="1">
      <c r="C35" s="183" t="s">
        <v>105</v>
      </c>
      <c r="D35" s="64"/>
      <c r="E35" s="72"/>
    </row>
  </sheetData>
  <sheetProtection sheet="1" objects="1" scenarios="1"/>
  <mergeCells count="6">
    <mergeCell ref="K18:K22"/>
    <mergeCell ref="C19:D19"/>
    <mergeCell ref="C18:D18"/>
    <mergeCell ref="C20:D20"/>
    <mergeCell ref="C21:D21"/>
    <mergeCell ref="C22:D22"/>
  </mergeCells>
  <conditionalFormatting sqref="E12 I23:I24">
    <cfRule type="cellIs" priority="2" dxfId="4" operator="equal" stopIfTrue="1">
      <formula>"&lt;"</formula>
    </cfRule>
  </conditionalFormatting>
  <conditionalFormatting sqref="G18:G22 D23:D24">
    <cfRule type="cellIs" priority="3" dxfId="2" operator="equal" stopIfTrue="1">
      <formula>$E$12</formula>
    </cfRule>
  </conditionalFormatting>
  <conditionalFormatting sqref="I18:I22 F23:F24">
    <cfRule type="cellIs" priority="4" dxfId="2" operator="equal" stopIfTrue="1">
      <formula>$G$12</formula>
    </cfRule>
  </conditionalFormatting>
  <conditionalFormatting sqref="H18:H22 E23:E24">
    <cfRule type="cellIs" priority="6" dxfId="2" operator="equal" stopIfTrue="1">
      <formula>$F$12</formula>
    </cfRule>
  </conditionalFormatting>
  <conditionalFormatting sqref="B23">
    <cfRule type="cellIs" priority="7" dxfId="4" operator="equal" stopIfTrue="1">
      <formula>"&gt;"</formula>
    </cfRule>
  </conditionalFormatting>
  <conditionalFormatting sqref="L18:L22">
    <cfRule type="cellIs" priority="8" dxfId="4" operator="equal" stopIfTrue="1">
      <formula>"&lt; votre tranche"</formula>
    </cfRule>
  </conditionalFormatting>
  <conditionalFormatting sqref="C18:C22">
    <cfRule type="cellIs" priority="1" dxfId="3" operator="equal" stopIfTrue="1">
      <formula>"votre tranche &gt;"</formula>
    </cfRule>
  </conditionalFormatting>
  <conditionalFormatting sqref="J18:J22 G23:G24">
    <cfRule type="cellIs" priority="12" dxfId="2" operator="equal" stopIfTrue="1">
      <formula>$H$12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21"/>
  <sheetViews>
    <sheetView showZeros="0" zoomScale="110" zoomScaleNormal="110" zoomScalePageLayoutView="0" workbookViewId="0" topLeftCell="A8">
      <selection activeCell="H10" sqref="H10"/>
    </sheetView>
  </sheetViews>
  <sheetFormatPr defaultColWidth="11.421875" defaultRowHeight="12.75" customHeight="1"/>
  <cols>
    <col min="1" max="1" width="17.7109375" style="1" customWidth="1"/>
    <col min="2" max="2" width="21.57421875" style="2" customWidth="1"/>
    <col min="3" max="3" width="7.140625" style="170" bestFit="1" customWidth="1"/>
    <col min="4" max="4" width="4.00390625" style="0" customWidth="1"/>
    <col min="5" max="7" width="3.28125" style="0" customWidth="1"/>
    <col min="8" max="9" width="11.57421875" style="0" bestFit="1" customWidth="1"/>
    <col min="10" max="10" width="11.140625" style="0" customWidth="1"/>
    <col min="11" max="11" width="10.28125" style="0" bestFit="1" customWidth="1"/>
    <col min="12" max="12" width="10.28125" style="3" bestFit="1" customWidth="1"/>
    <col min="13" max="13" width="9.8515625" style="0" customWidth="1"/>
    <col min="14" max="14" width="4.00390625" style="0" customWidth="1"/>
    <col min="15" max="15" width="3.28125" style="0" customWidth="1"/>
  </cols>
  <sheetData>
    <row r="1" spans="1:12" ht="14.25">
      <c r="A1" s="176" t="str">
        <f>Tarifs!A5</f>
        <v>Semaine 1</v>
      </c>
      <c r="B1" s="176"/>
      <c r="C1" s="176"/>
      <c r="D1" s="176"/>
      <c r="E1" s="176"/>
      <c r="F1" s="176"/>
      <c r="G1" s="176"/>
      <c r="H1" s="177">
        <f>Tarifs!H5</f>
        <v>45130</v>
      </c>
      <c r="I1" s="177">
        <f>Tarifs!I5</f>
        <v>45137</v>
      </c>
      <c r="K1" s="32"/>
      <c r="L1" s="32"/>
    </row>
    <row r="2" spans="1:9" ht="14.25" customHeight="1">
      <c r="A2" s="176" t="str">
        <f>Tarifs!A6</f>
        <v>Semaine 2</v>
      </c>
      <c r="B2" s="176"/>
      <c r="C2" s="176"/>
      <c r="D2" s="176"/>
      <c r="E2" s="176"/>
      <c r="F2" s="176"/>
      <c r="G2" s="176"/>
      <c r="H2" s="177">
        <f>Tarifs!H6</f>
        <v>45137</v>
      </c>
      <c r="I2" s="177">
        <f>Tarifs!I6</f>
        <v>45144</v>
      </c>
    </row>
    <row r="3" spans="1:9" ht="21.75" customHeight="1">
      <c r="A3" s="176" t="str">
        <f>Tarifs!A7</f>
        <v>Semaine 3</v>
      </c>
      <c r="B3" s="176"/>
      <c r="C3" s="176"/>
      <c r="D3" s="176"/>
      <c r="E3" s="176"/>
      <c r="F3" s="176"/>
      <c r="G3" s="176"/>
      <c r="H3" s="177">
        <f>Tarifs!H7</f>
        <v>45144</v>
      </c>
      <c r="I3" s="177">
        <f>Tarifs!I7</f>
        <v>45151</v>
      </c>
    </row>
    <row r="4" spans="1:10" ht="12.75" customHeight="1">
      <c r="A4" s="52"/>
      <c r="B4"/>
      <c r="C4" s="22"/>
      <c r="I4" s="32"/>
      <c r="J4" s="32"/>
    </row>
    <row r="5" spans="1:12" ht="27" customHeight="1">
      <c r="A5" s="53" t="s">
        <v>74</v>
      </c>
      <c r="B5" s="13"/>
      <c r="C5" s="171"/>
      <c r="L5"/>
    </row>
    <row r="6" spans="1:12" ht="18.75" customHeight="1">
      <c r="A6" s="50" t="s">
        <v>24</v>
      </c>
      <c r="B6" s="13"/>
      <c r="C6" s="171"/>
      <c r="L6"/>
    </row>
    <row r="7" spans="1:12" ht="18.75" customHeight="1">
      <c r="A7" s="50" t="s">
        <v>25</v>
      </c>
      <c r="B7" s="13"/>
      <c r="C7" s="171"/>
      <c r="L7"/>
    </row>
    <row r="8" spans="1:12" ht="14.25" customHeight="1">
      <c r="A8"/>
      <c r="B8"/>
      <c r="C8" s="22"/>
      <c r="L8" s="54"/>
    </row>
    <row r="9" spans="1:13" ht="88.5">
      <c r="A9" s="55" t="s">
        <v>2</v>
      </c>
      <c r="B9" s="55" t="s">
        <v>3</v>
      </c>
      <c r="C9" s="56" t="s">
        <v>67</v>
      </c>
      <c r="D9" s="49" t="s">
        <v>19</v>
      </c>
      <c r="E9" s="49" t="s">
        <v>69</v>
      </c>
      <c r="F9" s="49" t="s">
        <v>68</v>
      </c>
      <c r="G9" s="175" t="s">
        <v>70</v>
      </c>
      <c r="H9" s="56" t="e">
        <f>"Tarif
unitaire
tranche "&amp;Tarifs!E12</f>
        <v>#DIV/0!</v>
      </c>
      <c r="I9" s="56" t="s">
        <v>5</v>
      </c>
      <c r="J9" s="56" t="s">
        <v>6</v>
      </c>
      <c r="K9" s="28" t="s">
        <v>7</v>
      </c>
      <c r="L9" s="57" t="s">
        <v>8</v>
      </c>
      <c r="M9" s="28" t="s">
        <v>9</v>
      </c>
    </row>
    <row r="10" spans="1:13" ht="15.75" customHeight="1">
      <c r="A10" s="58">
        <f>'Inscription Famille'!A24</f>
        <v>0</v>
      </c>
      <c r="B10" s="58">
        <f>'Inscription Famille'!B24</f>
        <v>0</v>
      </c>
      <c r="C10" s="172">
        <f>'Inscription Famille'!C24</f>
        <v>0</v>
      </c>
      <c r="D10" s="59">
        <v>1</v>
      </c>
      <c r="E10" s="59">
        <f>IF('Inscription Famille'!L24=TRUE,1,0)</f>
        <v>0</v>
      </c>
      <c r="F10" s="59">
        <f>IF('Inscription Famille'!M24=TRUE,1,0)</f>
        <v>0</v>
      </c>
      <c r="G10" s="59">
        <f>IF('Inscription Famille'!N24=TRUE,1,0)</f>
        <v>0</v>
      </c>
      <c r="H10" s="27">
        <f>IF(OR(T(A10)&lt;&gt;"",T(B10)&lt;&gt;""),'Inscription Famille'!H24,"")</f>
      </c>
      <c r="I10" s="163">
        <v>43303</v>
      </c>
      <c r="J10" s="163"/>
      <c r="K10" s="28">
        <v>20</v>
      </c>
      <c r="L10" s="29">
        <f>IF(OR(T(A10)&lt;&gt;"",T(B10)&lt;&gt;""),IF(D10&lt;&gt;0,K10*Tarifs!$E$26,0),0)</f>
        <v>0</v>
      </c>
      <c r="M10" s="30">
        <f>IF(OR(T(A10)&lt;&gt;"",T(B10)&lt;&gt;""),H10*K10+L10,0)</f>
        <v>0</v>
      </c>
    </row>
    <row r="11" spans="1:13" ht="15.75" customHeight="1">
      <c r="A11" s="58">
        <f>'Inscription Famille'!A25</f>
      </c>
      <c r="B11" s="58">
        <f>'Inscription Famille'!B25</f>
        <v>0</v>
      </c>
      <c r="C11" s="172">
        <f>'Inscription Famille'!C25</f>
        <v>0</v>
      </c>
      <c r="D11" s="59">
        <v>1</v>
      </c>
      <c r="E11" s="59">
        <f>IF('Inscription Famille'!L25=TRUE,1,0)</f>
        <v>0</v>
      </c>
      <c r="F11" s="59">
        <f>IF('Inscription Famille'!M25=TRUE,1,0)</f>
        <v>0</v>
      </c>
      <c r="G11" s="59">
        <f>IF('Inscription Famille'!N25=TRUE,1,0)</f>
        <v>0</v>
      </c>
      <c r="H11" s="27">
        <f>IF(OR(T(A11)&lt;&gt;"",T(B11)&lt;&gt;""),'Inscription Famille'!H25,"")</f>
      </c>
      <c r="I11" s="163"/>
      <c r="J11" s="163"/>
      <c r="K11" s="28">
        <v>10</v>
      </c>
      <c r="L11" s="29">
        <f>IF(OR(T(A11)&lt;&gt;"",T(B11)&lt;&gt;""),IF(D11&lt;&gt;0,K11*Tarifs!$E$26,0),0)</f>
        <v>0</v>
      </c>
      <c r="M11" s="30">
        <f aca="true" t="shared" si="0" ref="M11:M16">IF(OR(T(A11)&lt;&gt;"",T(B11)&lt;&gt;""),H11*K11+L11,0)</f>
        <v>0</v>
      </c>
    </row>
    <row r="12" spans="1:13" ht="15.75" customHeight="1">
      <c r="A12" s="58">
        <f>'Inscription Famille'!A26</f>
      </c>
      <c r="B12" s="58">
        <f>'Inscription Famille'!B26</f>
        <v>0</v>
      </c>
      <c r="C12" s="172">
        <f>'Inscription Famille'!C26</f>
        <v>0</v>
      </c>
      <c r="D12" s="59">
        <f>IF('Inscription Famille'!K26=TRUE,1,0)</f>
        <v>0</v>
      </c>
      <c r="E12" s="59">
        <f>IF('Inscription Famille'!L26=TRUE,1,0)</f>
        <v>0</v>
      </c>
      <c r="F12" s="59">
        <v>1</v>
      </c>
      <c r="G12" s="59">
        <f>IF('Inscription Famille'!N26=TRUE,1,0)</f>
        <v>0</v>
      </c>
      <c r="H12" s="27">
        <f>IF(OR(T(A12)&lt;&gt;"",T(B12)&lt;&gt;""),'Inscription Famille'!H26,"")</f>
      </c>
      <c r="I12" s="163"/>
      <c r="J12" s="163"/>
      <c r="K12" s="28">
        <v>7</v>
      </c>
      <c r="L12" s="29">
        <f>IF(OR(T(A12)&lt;&gt;"",T(B12)&lt;&gt;""),IF(D12&lt;&gt;0,K12*Tarifs!$E$26,0),0)</f>
        <v>0</v>
      </c>
      <c r="M12" s="30">
        <f t="shared" si="0"/>
        <v>0</v>
      </c>
    </row>
    <row r="13" spans="1:13" ht="15.75" customHeight="1">
      <c r="A13" s="58">
        <f>'Inscription Famille'!A27</f>
      </c>
      <c r="B13" s="58">
        <f>'Inscription Famille'!B27</f>
        <v>0</v>
      </c>
      <c r="C13" s="172">
        <f>'Inscription Famille'!C27</f>
        <v>0</v>
      </c>
      <c r="D13" s="59">
        <f>IF('Inscription Famille'!K27=TRUE,1,0)</f>
        <v>0</v>
      </c>
      <c r="E13" s="59">
        <f>IF('Inscription Famille'!L27=TRUE,1,0)</f>
        <v>0</v>
      </c>
      <c r="F13" s="59">
        <f>IF('Inscription Famille'!M27=TRUE,1,0)</f>
        <v>0</v>
      </c>
      <c r="G13" s="59">
        <f>IF('Inscription Famille'!N27=TRUE,1,0)</f>
        <v>0</v>
      </c>
      <c r="H13" s="27">
        <f>IF(OR(T(A13)&lt;&gt;"",T(B13)&lt;&gt;""),'Inscription Famille'!H27,"")</f>
      </c>
      <c r="I13" s="163"/>
      <c r="J13" s="163"/>
      <c r="K13" s="28">
        <f>IF(AND(OR(T(A13)&lt;&gt;"",T(B13)&lt;&gt;""),I13&lt;&gt;"",J13&lt;&gt;""),DAYS360(I13,J13),0)</f>
        <v>0</v>
      </c>
      <c r="L13" s="29">
        <f>IF(OR(T(A13)&lt;&gt;"",T(B13)&lt;&gt;""),IF(D13&lt;&gt;0,K13*Tarifs!$E$26,0),0)</f>
        <v>0</v>
      </c>
      <c r="M13" s="30">
        <f t="shared" si="0"/>
        <v>0</v>
      </c>
    </row>
    <row r="14" spans="1:13" ht="15.75" customHeight="1">
      <c r="A14" s="58">
        <f>'Inscription Famille'!A28</f>
      </c>
      <c r="B14" s="58">
        <f>'Inscription Famille'!B28</f>
        <v>0</v>
      </c>
      <c r="C14" s="172">
        <f>'Inscription Famille'!C28</f>
        <v>0</v>
      </c>
      <c r="D14" s="59">
        <f>IF('Inscription Famille'!K28=TRUE,1,0)</f>
        <v>0</v>
      </c>
      <c r="E14" s="59">
        <f>IF('Inscription Famille'!L28=TRUE,1,0)</f>
        <v>0</v>
      </c>
      <c r="F14" s="59">
        <f>IF('Inscription Famille'!M28=TRUE,1,0)</f>
        <v>0</v>
      </c>
      <c r="G14" s="59">
        <f>IF('Inscription Famille'!N28=TRUE,1,0)</f>
        <v>0</v>
      </c>
      <c r="H14" s="27">
        <f>IF(OR(T(A14)&lt;&gt;"",T(B14)&lt;&gt;""),'Inscription Famille'!H28,"")</f>
      </c>
      <c r="I14" s="163"/>
      <c r="J14" s="163"/>
      <c r="K14" s="28">
        <f>IF(AND(OR(T(A14)&lt;&gt;"",T(B14)&lt;&gt;""),I14&lt;&gt;"",J14&lt;&gt;""),DAYS360(I14,J14),0)</f>
        <v>0</v>
      </c>
      <c r="L14" s="29">
        <f>IF(OR(T(A14)&lt;&gt;"",T(B14)&lt;&gt;""),IF(D14&lt;&gt;0,K14*Tarifs!$E$26,0),0)</f>
        <v>0</v>
      </c>
      <c r="M14" s="30">
        <f t="shared" si="0"/>
        <v>0</v>
      </c>
    </row>
    <row r="15" spans="1:13" ht="15.75" customHeight="1">
      <c r="A15" s="58">
        <f>'Inscription Famille'!A29</f>
      </c>
      <c r="B15" s="58">
        <f>'Inscription Famille'!B29</f>
        <v>0</v>
      </c>
      <c r="C15" s="172">
        <f>'Inscription Famille'!C29</f>
        <v>0</v>
      </c>
      <c r="D15" s="59">
        <f>IF('Inscription Famille'!K29=TRUE,1,0)</f>
        <v>0</v>
      </c>
      <c r="E15" s="59">
        <f>IF('Inscription Famille'!L29=TRUE,1,0)</f>
        <v>0</v>
      </c>
      <c r="F15" s="59">
        <f>IF('Inscription Famille'!M29=TRUE,1,0)</f>
        <v>0</v>
      </c>
      <c r="G15" s="59">
        <f>IF('Inscription Famille'!N29=TRUE,1,0)</f>
        <v>0</v>
      </c>
      <c r="H15" s="27">
        <f>IF(OR(T(A15)&lt;&gt;"",T(B15)&lt;&gt;""),'Inscription Famille'!H29,"")</f>
      </c>
      <c r="I15" s="163"/>
      <c r="J15" s="163"/>
      <c r="K15" s="28">
        <f>IF(AND(OR(T(A15)&lt;&gt;"",T(B15)&lt;&gt;""),I15&lt;&gt;"",J15&lt;&gt;""),DAYS360(I15,J15),0)</f>
        <v>0</v>
      </c>
      <c r="L15" s="29">
        <f>IF(OR(T(A15)&lt;&gt;"",T(B15)&lt;&gt;""),IF(D15&lt;&gt;0,K15*Tarifs!$E$26,0),0)</f>
        <v>0</v>
      </c>
      <c r="M15" s="30">
        <f t="shared" si="0"/>
        <v>0</v>
      </c>
    </row>
    <row r="16" spans="1:13" ht="15.75" customHeight="1">
      <c r="A16" s="58">
        <f>'Inscription Famille'!A30</f>
      </c>
      <c r="B16" s="58">
        <f>'Inscription Famille'!B30</f>
        <v>0</v>
      </c>
      <c r="C16" s="172">
        <f>'Inscription Famille'!C30</f>
        <v>0</v>
      </c>
      <c r="D16" s="59">
        <f>IF('Inscription Famille'!K30=TRUE,1,0)</f>
        <v>0</v>
      </c>
      <c r="E16" s="59">
        <f>IF('Inscription Famille'!L30=TRUE,1,0)</f>
        <v>0</v>
      </c>
      <c r="F16" s="59">
        <f>IF('Inscription Famille'!M30=TRUE,1,0)</f>
        <v>0</v>
      </c>
      <c r="G16" s="59">
        <f>IF('Inscription Famille'!N30=TRUE,1,0)</f>
        <v>0</v>
      </c>
      <c r="H16" s="27">
        <f>IF(OR(T(A16)&lt;&gt;"",T(B16)&lt;&gt;""),'Inscription Famille'!H30,"")</f>
      </c>
      <c r="I16" s="163"/>
      <c r="J16" s="163"/>
      <c r="K16" s="28">
        <f>IF(AND(OR(T(A16)&lt;&gt;"",T(B16)&lt;&gt;""),I16&lt;&gt;"",J16&lt;&gt;""),DAYS360(I16,J16),0)</f>
        <v>0</v>
      </c>
      <c r="L16" s="29">
        <f>IF(OR(T(A16)&lt;&gt;"",T(B16)&lt;&gt;""),IF(D16&lt;&gt;0,K16*Tarifs!$E$26,0),0)</f>
        <v>0</v>
      </c>
      <c r="M16" s="30">
        <f t="shared" si="0"/>
        <v>0</v>
      </c>
    </row>
    <row r="17" spans="1:12" ht="12.75" customHeight="1">
      <c r="A17" s="31"/>
      <c r="B17" s="31"/>
      <c r="C17" s="173"/>
      <c r="D17" s="31"/>
      <c r="E17" s="31"/>
      <c r="F17" s="31"/>
      <c r="G17" s="31"/>
      <c r="H17" s="31"/>
      <c r="I17" s="32"/>
      <c r="K17" s="31"/>
      <c r="L17" s="33"/>
    </row>
    <row r="18" spans="1:13" ht="25.5" customHeight="1">
      <c r="A18" s="56" t="s">
        <v>21</v>
      </c>
      <c r="B18" s="28">
        <f>'Inscription Famille'!B31</f>
        <v>0</v>
      </c>
      <c r="C18" s="28"/>
      <c r="D18" s="77">
        <f>SUM(D10:D16)</f>
        <v>2</v>
      </c>
      <c r="E18" s="77">
        <f>SUM(E10:E16)</f>
        <v>0</v>
      </c>
      <c r="F18" s="77">
        <f>SUM(F10:F16)</f>
        <v>1</v>
      </c>
      <c r="G18" s="77">
        <f>SUM(G10:G16)</f>
        <v>0</v>
      </c>
      <c r="H18" s="28"/>
      <c r="I18" s="60">
        <f>MIN(I10:I16)</f>
        <v>43303</v>
      </c>
      <c r="J18" s="60">
        <f>MAX(J10:J16)</f>
        <v>0</v>
      </c>
      <c r="K18" s="28">
        <f>SUM(K10:K16)</f>
        <v>37</v>
      </c>
      <c r="L18" s="29">
        <f>SUM(L10:L16)</f>
        <v>0</v>
      </c>
      <c r="M18" s="61">
        <f>SUM(M10:M16)</f>
        <v>0</v>
      </c>
    </row>
    <row r="19" spans="1:3" ht="12.75" customHeight="1">
      <c r="A19" s="34"/>
      <c r="B19"/>
      <c r="C19" s="22"/>
    </row>
    <row r="20" spans="9:11" ht="14.25" customHeight="1">
      <c r="I20" s="255">
        <f>IF(M18&lt;&gt;0,IF(OR(I18&lt;K1,J18&gt;L1,K18&lt;0),"*** ERREUR ***",""),"")</f>
      </c>
      <c r="J20" s="255"/>
      <c r="K20" s="255"/>
    </row>
    <row r="21" spans="1:12" ht="27" customHeight="1">
      <c r="A21" s="53" t="s">
        <v>26</v>
      </c>
      <c r="B21" s="13"/>
      <c r="C21" s="171"/>
      <c r="L21"/>
    </row>
  </sheetData>
  <sheetProtection/>
  <mergeCells count="1">
    <mergeCell ref="I20:K20"/>
  </mergeCells>
  <conditionalFormatting sqref="J18 J10:J16">
    <cfRule type="cellIs" priority="10" dxfId="0" operator="between" stopIfTrue="1">
      <formula>$I$3+1</formula>
      <formula>401769</formula>
    </cfRule>
  </conditionalFormatting>
  <conditionalFormatting sqref="I18 I10:I16">
    <cfRule type="cellIs" priority="11" dxfId="0" operator="between" stopIfTrue="1">
      <formula>36526</formula>
      <formula>$H$1-1</formula>
    </cfRule>
  </conditionalFormatting>
  <printOptions/>
  <pageMargins left="0.2798611111111111" right="0.25" top="0.3298611111111111" bottom="0.629861111111111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8"/>
  <sheetViews>
    <sheetView showZeros="0" zoomScale="130" zoomScaleNormal="130" zoomScalePageLayoutView="0" workbookViewId="0" topLeftCell="A1">
      <selection activeCell="C9" sqref="C9"/>
    </sheetView>
  </sheetViews>
  <sheetFormatPr defaultColWidth="11.421875" defaultRowHeight="12.75" customHeight="1"/>
  <cols>
    <col min="1" max="1" width="2.7109375" style="0" customWidth="1"/>
    <col min="2" max="2" width="22.8515625" style="0" customWidth="1"/>
    <col min="3" max="3" width="13.7109375" style="153" customWidth="1"/>
    <col min="4" max="4" width="2.7109375" style="0" customWidth="1"/>
  </cols>
  <sheetData>
    <row r="2" spans="2:3" ht="12.75" customHeight="1">
      <c r="B2" s="154" t="s">
        <v>53</v>
      </c>
      <c r="C2" s="154"/>
    </row>
    <row r="3" ht="12.75" customHeight="1">
      <c r="C3" s="155" t="s">
        <v>54</v>
      </c>
    </row>
    <row r="4" ht="12.75" customHeight="1">
      <c r="C4" s="156" t="s">
        <v>55</v>
      </c>
    </row>
    <row r="5" spans="2:3" ht="15" customHeight="1">
      <c r="B5" s="157" t="s">
        <v>49</v>
      </c>
      <c r="C5" s="158">
        <v>20</v>
      </c>
    </row>
    <row r="6" spans="2:3" ht="15" customHeight="1">
      <c r="B6" s="157" t="s">
        <v>50</v>
      </c>
      <c r="C6" s="158">
        <v>16</v>
      </c>
    </row>
    <row r="7" spans="2:3" ht="15" customHeight="1">
      <c r="B7" s="157" t="s">
        <v>56</v>
      </c>
      <c r="C7" s="158">
        <v>7.95</v>
      </c>
    </row>
    <row r="8" spans="2:3" ht="15" customHeight="1">
      <c r="B8" s="157" t="s">
        <v>57</v>
      </c>
      <c r="C8" s="158">
        <v>9</v>
      </c>
    </row>
    <row r="9" spans="2:3" ht="15" customHeight="1">
      <c r="B9" s="157" t="s">
        <v>58</v>
      </c>
      <c r="C9" s="158">
        <v>10.9</v>
      </c>
    </row>
    <row r="10" spans="2:3" ht="15" customHeight="1">
      <c r="B10" s="157" t="s">
        <v>59</v>
      </c>
      <c r="C10" s="158">
        <v>0.12</v>
      </c>
    </row>
    <row r="11" spans="2:3" ht="15" customHeight="1">
      <c r="B11" s="157" t="s">
        <v>60</v>
      </c>
      <c r="C11" s="158">
        <v>0.2</v>
      </c>
    </row>
    <row r="12" spans="2:3" ht="15" customHeight="1">
      <c r="B12" s="157" t="s">
        <v>23</v>
      </c>
      <c r="C12" s="158">
        <v>0.25</v>
      </c>
    </row>
    <row r="13" spans="2:3" ht="15" customHeight="1">
      <c r="B13" s="157" t="s">
        <v>61</v>
      </c>
      <c r="C13" s="158">
        <v>16</v>
      </c>
    </row>
    <row r="15" spans="2:3" ht="12.75" customHeight="1">
      <c r="B15" s="154" t="s">
        <v>62</v>
      </c>
      <c r="C15" s="154"/>
    </row>
    <row r="16" ht="12.75" customHeight="1">
      <c r="C16" s="51" t="s">
        <v>63</v>
      </c>
    </row>
    <row r="17" spans="2:3" ht="15" customHeight="1">
      <c r="B17" s="157" t="s">
        <v>64</v>
      </c>
      <c r="C17" s="159">
        <v>25</v>
      </c>
    </row>
    <row r="18" spans="2:3" ht="15" customHeight="1">
      <c r="B18" s="157" t="s">
        <v>65</v>
      </c>
      <c r="C18" s="160">
        <v>50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Maison</cp:lastModifiedBy>
  <cp:lastPrinted>2018-11-07T14:41:58Z</cp:lastPrinted>
  <dcterms:created xsi:type="dcterms:W3CDTF">2016-03-26T20:20:06Z</dcterms:created>
  <dcterms:modified xsi:type="dcterms:W3CDTF">2023-03-09T15:06:32Z</dcterms:modified>
  <cp:category/>
  <cp:version/>
  <cp:contentType/>
  <cp:contentStatus/>
</cp:coreProperties>
</file>